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andefjord365-my.sharepoint.com/personal/vibeke_b_kverhellen_sandefjord_kommune_no/Documents/Desktop/"/>
    </mc:Choice>
  </mc:AlternateContent>
  <xr:revisionPtr revIDLastSave="0" documentId="8_{43032D9B-F0E7-494F-932A-1B9A0A998431}" xr6:coauthVersionLast="45" xr6:coauthVersionMax="45" xr10:uidLastSave="{00000000-0000-0000-0000-000000000000}"/>
  <bookViews>
    <workbookView showHorizontalScroll="0" showVerticalScroll="0" showSheetTabs="0" xWindow="-110" yWindow="-110" windowWidth="19420" windowHeight="10300" tabRatio="820" activeTab="1" xr2:uid="{00000000-000D-0000-FFFF-FFFF00000000}"/>
  </bookViews>
  <sheets>
    <sheet name="Udir" sheetId="21" r:id="rId1"/>
    <sheet name="Forside" sheetId="8" r:id="rId2"/>
    <sheet name="Input, kommunale barnehager" sheetId="3" r:id="rId3"/>
    <sheet name="Beregning, komm.tilskudd" sheetId="4" r:id="rId4"/>
    <sheet name="Oversikt" sheetId="31" state="hidden" r:id="rId5"/>
    <sheet name="Pensjon" sheetId="34" r:id="rId6"/>
    <sheet name="Kapitaltilskudd" sheetId="22" state="hidden" r:id="rId7"/>
    <sheet name="Satser" sheetId="16" r:id="rId8"/>
  </sheets>
  <externalReferences>
    <externalReference r:id="rId9"/>
    <externalReference r:id="rId10"/>
    <externalReference r:id="rId11"/>
    <externalReference r:id="rId12"/>
  </externalReferences>
  <definedNames>
    <definedName name="__parameters_client_eq">#REF!</definedName>
    <definedName name="__Regnskap_hittil_i_år_amount">'Input, kommunale barnehager'!$K$3:$K$33499</definedName>
    <definedName name="__Regnskap_hittil_i_år_f0_avvik1">'[1]__Regnskap hittil i år'!#REF!</definedName>
    <definedName name="__Regnskap_hittil_i_år_f1_forbruk_i__9">'[1]__Regnskap hittil i år'!#REF!</definedName>
    <definedName name="__Økonomiplan_2018_21_transaksj_f0_2013">#REF!</definedName>
    <definedName name="__Økonomiplan_2018_21_transaksj_f1_2014">#REF!</definedName>
    <definedName name="__Økonomiplan_2018_21_transaksj_f2_2015">#REF!</definedName>
    <definedName name="__Økonomiplan_2018_21_transaksj_f3_2016">#REF!</definedName>
    <definedName name="__Økonomiplan_2019_22_transaksj_f0_2013">#REF!</definedName>
    <definedName name="__Økonomiplan_2019_22_transaksj_f1_2014">#REF!</definedName>
    <definedName name="__Økonomiplan_2019_22_transaksj_f2_2015">#REF!</definedName>
    <definedName name="__Økonomiplan_2019_22_transaksj_f3_2016">#REF!</definedName>
    <definedName name="__Økonomiplan_2020_23_transaksj.f0_2013">#REF!</definedName>
    <definedName name="__Økonomiplan_2020_23_transaksj.f1_2014">#REF!</definedName>
    <definedName name="__Økonomiplan_2020_23_transaksj.f2_2015">#REF!</definedName>
    <definedName name="__Økonomiplan_2020_23_transaksj.f3_2016">#REF!</definedName>
    <definedName name="_AGA1">[2]FORUTSETNINGER!$C$30</definedName>
    <definedName name="_AGA2">[2]FORUTSETNINGER!$D$30</definedName>
    <definedName name="_AGA3">[2]FORUTSETNINGER!$E$30</definedName>
    <definedName name="_AGA4">[2]FORUTSETNINGER!$F$30</definedName>
    <definedName name="_xlnm._FilterDatabase" localSheetId="4" hidden="1">Oversikt!$A$7:$M$47</definedName>
    <definedName name="_xlnm._FilterDatabase" localSheetId="5" hidden="1">Pensjon!$A$7:$S$1123</definedName>
    <definedName name="AGA0">[2]FORUTSETNINGER!$B$30</definedName>
    <definedName name="dd">#REF!</definedName>
    <definedName name="elever_pr_skole">'[3]MR Ant elever'!$C$18:$AF$21</definedName>
    <definedName name="Forvlonn0">[2]FORUTSETNINGER!$B$31</definedName>
    <definedName name="Forvlonn1">[2]FORUTSETNINGER!$C$31</definedName>
    <definedName name="Forvlonn2">[2]FORUTSETNINGER!$D$31</definedName>
    <definedName name="Forvlonn3">[2]FORUTSETNINGER!$E$31</definedName>
    <definedName name="Forvlonn4">[2]FORUTSETNINGER!$F$31</definedName>
    <definedName name="gjennomsnittslønn">[3]Tildelingsfaktorer!$C$4</definedName>
    <definedName name="Lønn_pr_skole" localSheetId="5">'[4]MR gjlønn'!#REF!</definedName>
    <definedName name="Lønn_pr_skole">'[4]MR gjlønn'!#REF!</definedName>
    <definedName name="mainContentBookmark" localSheetId="7">Satser!#REF!</definedName>
    <definedName name="Manuell_tild_element">'[3]Manuell tildeling'!$C$4:$M$4</definedName>
    <definedName name="manuell_tildel_skole">'[3]Manuell tildeling'!$C$4:$C$40</definedName>
    <definedName name="Psats0">[2]FORUTSETNINGER!$B$29</definedName>
    <definedName name="Psats1">[2]FORUTSETNINGER!$C$29</definedName>
    <definedName name="Psats2">[2]FORUTSETNINGER!$D$29</definedName>
    <definedName name="Psats3">[2]FORUTSETNINGER!$E$29</definedName>
    <definedName name="Psats4">[2]FORUTSETNINGER!$F$29</definedName>
    <definedName name="seniortillegg">'[3]MR senioransatte'!$A$5:$AD$11</definedName>
    <definedName name="skjæringspkt_SFO">[3]Tildelingsfaktorer!$C$27</definedName>
    <definedName name="tildeling_øvrig">[3]Tildelingsfaktorer!$B$30:$AE$39</definedName>
    <definedName name="tildeling_øvrig_element">[3]Tildelingsfaktorer!$B$30:$B$39</definedName>
    <definedName name="tildeling_øvrig_skole">[3]Tildelingsfaktorer!$B$30:$AE$30</definedName>
    <definedName name="timer_pr_uke_barn">[3]Tildelingsfaktorer!$G$4</definedName>
    <definedName name="timer_pr_uke_ungdom">[3]Tildelingsfaktorer!$G$6</definedName>
    <definedName name="_xlnm.Print_Area" localSheetId="3">'Beregning, komm.tilskudd'!$A:$D</definedName>
    <definedName name="_xlnm.Print_Area" localSheetId="2">'Input, kommunale barnehager'!$A$1:$L$47</definedName>
    <definedName name="_xlnm.Print_Area" localSheetId="4">Oversikt!$A$1:$M$47</definedName>
    <definedName name="Valgt_skole_simulering">"Drop Down 2"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3" l="1"/>
  <c r="O2" i="34"/>
  <c r="M6" i="34"/>
  <c r="M40" i="3"/>
  <c r="M41" i="3"/>
  <c r="M42" i="3"/>
  <c r="M43" i="3"/>
  <c r="M44" i="3"/>
  <c r="M45" i="3"/>
  <c r="M46" i="3"/>
  <c r="Q787" i="34"/>
  <c r="M8" i="3" l="1"/>
  <c r="F46" i="3"/>
  <c r="F44" i="3"/>
  <c r="M12" i="3"/>
  <c r="M19" i="3" l="1"/>
  <c r="M7" i="3"/>
  <c r="D47" i="31"/>
  <c r="H20" i="31" l="1"/>
  <c r="G79" i="4"/>
  <c r="P1066" i="34" l="1"/>
  <c r="P1065" i="34"/>
  <c r="P1064" i="34"/>
  <c r="P1063" i="34"/>
  <c r="P1062" i="34"/>
  <c r="P1061" i="34"/>
  <c r="P1060" i="34"/>
  <c r="P1059" i="34"/>
  <c r="P1058" i="34"/>
  <c r="P1057" i="34"/>
  <c r="P1056" i="34"/>
  <c r="P1055" i="34"/>
  <c r="P1054" i="34"/>
  <c r="P1053" i="34"/>
  <c r="P1052" i="34"/>
  <c r="P1051" i="34"/>
  <c r="P1050" i="34"/>
  <c r="P1049" i="34"/>
  <c r="P1048" i="34"/>
  <c r="P1047" i="34"/>
  <c r="P1046" i="34"/>
  <c r="P1045" i="34"/>
  <c r="P1044" i="34"/>
  <c r="P1043" i="34"/>
  <c r="P1042" i="34"/>
  <c r="P1041" i="34"/>
  <c r="P833" i="34"/>
  <c r="P827" i="34"/>
  <c r="P822" i="34"/>
  <c r="P815" i="34"/>
  <c r="P810" i="34"/>
  <c r="P803" i="34"/>
  <c r="P795" i="34"/>
  <c r="P785" i="34"/>
  <c r="P775" i="34"/>
  <c r="P774" i="34"/>
  <c r="P758" i="34"/>
  <c r="P757" i="34"/>
  <c r="P756" i="34"/>
  <c r="P725" i="34"/>
  <c r="P724" i="34"/>
  <c r="P723" i="34"/>
  <c r="P722" i="34"/>
  <c r="P690" i="34"/>
  <c r="P689" i="34"/>
  <c r="P688" i="34"/>
  <c r="P687" i="34"/>
  <c r="P686" i="34"/>
  <c r="P651" i="34"/>
  <c r="P650" i="34"/>
  <c r="P649" i="34"/>
  <c r="P648" i="34"/>
  <c r="P620" i="34"/>
  <c r="P619" i="34"/>
  <c r="P598" i="34"/>
  <c r="P597" i="34"/>
  <c r="P596" i="34"/>
  <c r="P595" i="34"/>
  <c r="P566" i="34"/>
  <c r="P565" i="34"/>
  <c r="P564" i="34"/>
  <c r="P563" i="34"/>
  <c r="P534" i="34"/>
  <c r="P533" i="34"/>
  <c r="P532" i="34"/>
  <c r="P506" i="34"/>
  <c r="P505" i="34"/>
  <c r="P504" i="34"/>
  <c r="P477" i="34"/>
  <c r="P476" i="34"/>
  <c r="P475" i="34"/>
  <c r="P448" i="34"/>
  <c r="P447" i="34"/>
  <c r="P446" i="34"/>
  <c r="P445" i="34"/>
  <c r="P444" i="34"/>
  <c r="P411" i="34"/>
  <c r="P410" i="34"/>
  <c r="P409" i="34"/>
  <c r="P379" i="34"/>
  <c r="P378" i="34"/>
  <c r="P377" i="34"/>
  <c r="P376" i="34"/>
  <c r="P375" i="34"/>
  <c r="P340" i="34"/>
  <c r="P339" i="34"/>
  <c r="P338" i="34"/>
  <c r="P308" i="34"/>
  <c r="P307" i="34"/>
  <c r="P306" i="34"/>
  <c r="P305" i="34"/>
  <c r="P278" i="34"/>
  <c r="P277" i="34"/>
  <c r="P276" i="34"/>
  <c r="P275" i="34"/>
  <c r="P242" i="34"/>
  <c r="P241" i="34"/>
  <c r="P240" i="34"/>
  <c r="P239" i="34"/>
  <c r="P238" i="34"/>
  <c r="P204" i="34"/>
  <c r="P203" i="34"/>
  <c r="P202" i="34"/>
  <c r="P167" i="34"/>
  <c r="P166" i="34"/>
  <c r="P165" i="34"/>
  <c r="P135" i="34"/>
  <c r="P134" i="34"/>
  <c r="P133" i="34"/>
  <c r="P132" i="34"/>
  <c r="P99" i="34"/>
  <c r="P98" i="34"/>
  <c r="P97" i="34"/>
  <c r="P96" i="34"/>
  <c r="P95" i="34"/>
  <c r="P94" i="34"/>
  <c r="P68" i="34"/>
  <c r="P67" i="34"/>
  <c r="P66" i="34"/>
  <c r="P41" i="34"/>
  <c r="P40" i="34"/>
  <c r="P35" i="34"/>
  <c r="P34" i="34"/>
  <c r="P30" i="34"/>
  <c r="P27" i="34"/>
  <c r="P25" i="34"/>
  <c r="P21" i="34"/>
  <c r="Q15" i="34"/>
  <c r="Q14" i="34"/>
  <c r="Q18" i="34"/>
  <c r="Q1123" i="34"/>
  <c r="Q1122" i="34"/>
  <c r="Q1121" i="34"/>
  <c r="Q1120" i="34"/>
  <c r="Q1119" i="34"/>
  <c r="Q1118" i="34"/>
  <c r="Q1117" i="34"/>
  <c r="Q1116" i="34"/>
  <c r="Q1115" i="34"/>
  <c r="Q1114" i="34"/>
  <c r="Q1113" i="34"/>
  <c r="Q1112" i="34"/>
  <c r="Q1111" i="34"/>
  <c r="Q1110" i="34"/>
  <c r="Q1109" i="34"/>
  <c r="Q1108" i="34"/>
  <c r="Q1107" i="34"/>
  <c r="Q1106" i="34"/>
  <c r="Q1105" i="34"/>
  <c r="Q1104" i="34"/>
  <c r="Q1103" i="34"/>
  <c r="Q1102" i="34"/>
  <c r="Q1101" i="34"/>
  <c r="Q1100" i="34"/>
  <c r="Q1099" i="34"/>
  <c r="Q1098" i="34"/>
  <c r="Q1097" i="34"/>
  <c r="Q1096" i="34"/>
  <c r="Q1095" i="34"/>
  <c r="Q1094" i="34"/>
  <c r="Q1093" i="34"/>
  <c r="Q1040" i="34"/>
  <c r="Q1039" i="34"/>
  <c r="Q1038" i="34"/>
  <c r="Q1037" i="34"/>
  <c r="Q1036" i="34"/>
  <c r="Q1035" i="34"/>
  <c r="Q1034" i="34"/>
  <c r="Q1033" i="34"/>
  <c r="Q1032" i="34"/>
  <c r="Q1031" i="34"/>
  <c r="Q1030" i="34"/>
  <c r="Q1029" i="34"/>
  <c r="Q1028" i="34"/>
  <c r="Q1027" i="34"/>
  <c r="Q1026" i="34"/>
  <c r="Q1025" i="34"/>
  <c r="Q1024" i="34"/>
  <c r="Q1023" i="34"/>
  <c r="Q1022" i="34"/>
  <c r="Q1021" i="34"/>
  <c r="Q1020" i="34"/>
  <c r="Q1019" i="34"/>
  <c r="Q1018" i="34"/>
  <c r="Q1017" i="34"/>
  <c r="Q1016" i="34"/>
  <c r="Q1015" i="34"/>
  <c r="Q1014" i="34"/>
  <c r="Q1013" i="34"/>
  <c r="Q1012" i="34"/>
  <c r="Q1011" i="34"/>
  <c r="Q1010" i="34"/>
  <c r="Q1009" i="34"/>
  <c r="Q1008" i="34"/>
  <c r="Q1007" i="34"/>
  <c r="Q1006" i="34"/>
  <c r="Q1005" i="34"/>
  <c r="Q1004" i="34"/>
  <c r="Q1003" i="34"/>
  <c r="Q1002" i="34"/>
  <c r="Q1001" i="34"/>
  <c r="Q1000" i="34"/>
  <c r="Q999" i="34"/>
  <c r="Q998" i="34"/>
  <c r="Q997" i="34"/>
  <c r="Q996" i="34"/>
  <c r="Q995" i="34"/>
  <c r="Q994" i="34"/>
  <c r="Q993" i="34"/>
  <c r="Q992" i="34"/>
  <c r="Q991" i="34"/>
  <c r="Q990" i="34"/>
  <c r="Q989" i="34"/>
  <c r="Q988" i="34"/>
  <c r="Q987" i="34"/>
  <c r="Q986" i="34"/>
  <c r="Q985" i="34"/>
  <c r="Q984" i="34"/>
  <c r="Q983" i="34"/>
  <c r="Q982" i="34"/>
  <c r="Q981" i="34"/>
  <c r="Q980" i="34"/>
  <c r="Q979" i="34"/>
  <c r="Q978" i="34"/>
  <c r="Q977" i="34"/>
  <c r="Q976" i="34"/>
  <c r="Q975" i="34"/>
  <c r="Q974" i="34"/>
  <c r="Q973" i="34"/>
  <c r="Q972" i="34"/>
  <c r="Q971" i="34"/>
  <c r="Q970" i="34"/>
  <c r="Q969" i="34"/>
  <c r="Q968" i="34"/>
  <c r="Q967" i="34"/>
  <c r="Q966" i="34"/>
  <c r="Q965" i="34"/>
  <c r="Q964" i="34"/>
  <c r="Q963" i="34"/>
  <c r="Q962" i="34"/>
  <c r="Q961" i="34"/>
  <c r="Q960" i="34"/>
  <c r="Q959" i="34"/>
  <c r="Q958" i="34"/>
  <c r="Q957" i="34"/>
  <c r="Q956" i="34"/>
  <c r="Q955" i="34"/>
  <c r="Q954" i="34"/>
  <c r="Q953" i="34"/>
  <c r="Q952" i="34"/>
  <c r="Q951" i="34"/>
  <c r="Q950" i="34"/>
  <c r="Q949" i="34"/>
  <c r="Q948" i="34"/>
  <c r="Q947" i="34"/>
  <c r="Q946" i="34"/>
  <c r="Q945" i="34"/>
  <c r="Q944" i="34"/>
  <c r="Q943" i="34"/>
  <c r="Q942" i="34"/>
  <c r="Q941" i="34"/>
  <c r="Q940" i="34"/>
  <c r="Q939" i="34"/>
  <c r="Q938" i="34"/>
  <c r="Q937" i="34"/>
  <c r="Q936" i="34"/>
  <c r="Q935" i="34"/>
  <c r="Q934" i="34"/>
  <c r="Q933" i="34"/>
  <c r="Q932" i="34"/>
  <c r="Q931" i="34"/>
  <c r="Q930" i="34"/>
  <c r="Q929" i="34"/>
  <c r="Q928" i="34"/>
  <c r="Q927" i="34"/>
  <c r="Q926" i="34"/>
  <c r="Q925" i="34"/>
  <c r="Q924" i="34"/>
  <c r="Q923" i="34"/>
  <c r="Q922" i="34"/>
  <c r="Q921" i="34"/>
  <c r="Q920" i="34"/>
  <c r="Q919" i="34"/>
  <c r="Q918" i="34"/>
  <c r="Q917" i="34"/>
  <c r="Q916" i="34"/>
  <c r="Q915" i="34"/>
  <c r="Q914" i="34"/>
  <c r="Q913" i="34"/>
  <c r="Q912" i="34"/>
  <c r="Q911" i="34"/>
  <c r="Q910" i="34"/>
  <c r="Q909" i="34"/>
  <c r="Q908" i="34"/>
  <c r="Q907" i="34"/>
  <c r="Q906" i="34"/>
  <c r="Q905" i="34"/>
  <c r="Q904" i="34"/>
  <c r="Q903" i="34"/>
  <c r="Q902" i="34"/>
  <c r="Q901" i="34"/>
  <c r="Q900" i="34"/>
  <c r="Q899" i="34"/>
  <c r="Q898" i="34"/>
  <c r="Q897" i="34"/>
  <c r="Q896" i="34"/>
  <c r="Q895" i="34"/>
  <c r="Q894" i="34"/>
  <c r="Q893" i="34"/>
  <c r="Q892" i="34"/>
  <c r="Q891" i="34"/>
  <c r="Q890" i="34"/>
  <c r="Q889" i="34"/>
  <c r="Q888" i="34"/>
  <c r="Q887" i="34"/>
  <c r="Q886" i="34"/>
  <c r="Q885" i="34"/>
  <c r="Q884" i="34"/>
  <c r="Q883" i="34"/>
  <c r="Q882" i="34"/>
  <c r="Q881" i="34"/>
  <c r="Q880" i="34"/>
  <c r="Q879" i="34"/>
  <c r="Q878" i="34"/>
  <c r="Q877" i="34"/>
  <c r="Q876" i="34"/>
  <c r="Q875" i="34"/>
  <c r="Q874" i="34"/>
  <c r="Q873" i="34"/>
  <c r="Q872" i="34"/>
  <c r="Q871" i="34"/>
  <c r="Q870" i="34"/>
  <c r="Q869" i="34"/>
  <c r="Q868" i="34"/>
  <c r="Q867" i="34"/>
  <c r="Q866" i="34"/>
  <c r="Q865" i="34"/>
  <c r="Q864" i="34"/>
  <c r="Q863" i="34"/>
  <c r="Q862" i="34"/>
  <c r="Q861" i="34"/>
  <c r="Q860" i="34"/>
  <c r="Q859" i="34"/>
  <c r="Q858" i="34"/>
  <c r="Q857" i="34"/>
  <c r="Q856" i="34"/>
  <c r="Q855" i="34"/>
  <c r="Q854" i="34"/>
  <c r="Q853" i="34"/>
  <c r="Q852" i="34"/>
  <c r="Q851" i="34"/>
  <c r="Q850" i="34"/>
  <c r="Q849" i="34"/>
  <c r="Q848" i="34"/>
  <c r="Q847" i="34"/>
  <c r="Q846" i="34"/>
  <c r="Q845" i="34"/>
  <c r="Q844" i="34"/>
  <c r="Q843" i="34"/>
  <c r="Q842" i="34"/>
  <c r="Q841" i="34"/>
  <c r="Q840" i="34"/>
  <c r="Q839" i="34"/>
  <c r="Q838" i="34"/>
  <c r="Q837" i="34"/>
  <c r="Q836" i="34"/>
  <c r="Q835" i="34"/>
  <c r="Q832" i="34"/>
  <c r="Q831" i="34"/>
  <c r="Q830" i="34"/>
  <c r="Q829" i="34"/>
  <c r="Q826" i="34"/>
  <c r="Q825" i="34"/>
  <c r="Q824" i="34"/>
  <c r="Q821" i="34"/>
  <c r="Q820" i="34"/>
  <c r="Q819" i="34"/>
  <c r="Q818" i="34"/>
  <c r="Q817" i="34"/>
  <c r="Q814" i="34"/>
  <c r="Q813" i="34"/>
  <c r="Q812" i="34"/>
  <c r="Q809" i="34"/>
  <c r="Q808" i="34"/>
  <c r="Q807" i="34"/>
  <c r="Q806" i="34"/>
  <c r="Q805" i="34"/>
  <c r="Q802" i="34"/>
  <c r="Q801" i="34"/>
  <c r="Q800" i="34"/>
  <c r="Q799" i="34"/>
  <c r="Q794" i="34"/>
  <c r="Q793" i="34"/>
  <c r="Q792" i="34"/>
  <c r="Q791" i="34"/>
  <c r="Q790" i="34"/>
  <c r="Q789" i="34"/>
  <c r="Q784" i="34"/>
  <c r="Q783" i="34"/>
  <c r="Q782" i="34"/>
  <c r="Q781" i="34"/>
  <c r="Q780" i="34"/>
  <c r="Q779" i="34"/>
  <c r="Q773" i="34"/>
  <c r="Q772" i="34"/>
  <c r="Q771" i="34"/>
  <c r="Q770" i="34"/>
  <c r="Q769" i="34"/>
  <c r="Q768" i="34"/>
  <c r="Q767" i="34"/>
  <c r="Q766" i="34"/>
  <c r="Q765" i="34"/>
  <c r="Q764" i="34"/>
  <c r="Q763" i="34"/>
  <c r="Q755" i="34"/>
  <c r="Q754" i="34"/>
  <c r="Q753" i="34"/>
  <c r="Q752" i="34"/>
  <c r="Q751" i="34"/>
  <c r="Q750" i="34"/>
  <c r="Q749" i="34"/>
  <c r="Q748" i="34"/>
  <c r="Q747" i="34"/>
  <c r="Q746" i="34"/>
  <c r="Q745" i="34"/>
  <c r="Q744" i="34"/>
  <c r="Q743" i="34"/>
  <c r="Q742" i="34"/>
  <c r="Q741" i="34"/>
  <c r="Q740" i="34"/>
  <c r="Q739" i="34"/>
  <c r="Q738" i="34"/>
  <c r="Q737" i="34"/>
  <c r="Q736" i="34"/>
  <c r="Q735" i="34"/>
  <c r="Q734" i="34"/>
  <c r="Q733" i="34"/>
  <c r="Q732" i="34"/>
  <c r="Q731" i="34"/>
  <c r="Q721" i="34"/>
  <c r="Q720" i="34"/>
  <c r="Q719" i="34"/>
  <c r="Q718" i="34"/>
  <c r="Q717" i="34"/>
  <c r="Q716" i="34"/>
  <c r="Q715" i="34"/>
  <c r="Q714" i="34"/>
  <c r="Q713" i="34"/>
  <c r="Q712" i="34"/>
  <c r="Q711" i="34"/>
  <c r="Q710" i="34"/>
  <c r="Q709" i="34"/>
  <c r="Q708" i="34"/>
  <c r="Q707" i="34"/>
  <c r="Q706" i="34"/>
  <c r="Q705" i="34"/>
  <c r="Q704" i="34"/>
  <c r="Q703" i="34"/>
  <c r="Q702" i="34"/>
  <c r="Q701" i="34"/>
  <c r="Q700" i="34"/>
  <c r="Q699" i="34"/>
  <c r="Q698" i="34"/>
  <c r="Q697" i="34"/>
  <c r="Q685" i="34"/>
  <c r="Q684" i="34"/>
  <c r="Q683" i="34"/>
  <c r="Q682" i="34"/>
  <c r="Q681" i="34"/>
  <c r="Q680" i="34"/>
  <c r="Q679" i="34"/>
  <c r="Q678" i="34"/>
  <c r="Q677" i="34"/>
  <c r="Q676" i="34"/>
  <c r="Q675" i="34"/>
  <c r="Q674" i="34"/>
  <c r="Q673" i="34"/>
  <c r="Q672" i="34"/>
  <c r="Q671" i="34"/>
  <c r="Q670" i="34"/>
  <c r="Q669" i="34"/>
  <c r="Q668" i="34"/>
  <c r="Q667" i="34"/>
  <c r="Q666" i="34"/>
  <c r="Q665" i="34"/>
  <c r="Q664" i="34"/>
  <c r="Q663" i="34"/>
  <c r="Q662" i="34"/>
  <c r="Q661" i="34"/>
  <c r="Q660" i="34"/>
  <c r="Q659" i="34"/>
  <c r="Q658" i="34"/>
  <c r="Q657" i="34"/>
  <c r="Q647" i="34"/>
  <c r="Q646" i="34"/>
  <c r="Q645" i="34"/>
  <c r="Q644" i="34"/>
  <c r="Q643" i="34"/>
  <c r="Q642" i="34"/>
  <c r="Q641" i="34"/>
  <c r="Q640" i="34"/>
  <c r="Q639" i="34"/>
  <c r="Q638" i="34"/>
  <c r="Q637" i="34"/>
  <c r="Q636" i="34"/>
  <c r="Q635" i="34"/>
  <c r="Q634" i="34"/>
  <c r="Q633" i="34"/>
  <c r="Q632" i="34"/>
  <c r="Q631" i="34"/>
  <c r="Q630" i="34"/>
  <c r="Q629" i="34"/>
  <c r="Q628" i="34"/>
  <c r="Q627" i="34"/>
  <c r="Q626" i="34"/>
  <c r="Q625" i="34"/>
  <c r="Q624" i="34"/>
  <c r="Q618" i="34"/>
  <c r="Q617" i="34"/>
  <c r="Q616" i="34"/>
  <c r="Q615" i="34"/>
  <c r="Q614" i="34"/>
  <c r="Q613" i="34"/>
  <c r="Q612" i="34"/>
  <c r="Q611" i="34"/>
  <c r="Q610" i="34"/>
  <c r="Q609" i="34"/>
  <c r="Q608" i="34"/>
  <c r="Q607" i="34"/>
  <c r="Q606" i="34"/>
  <c r="Q605" i="34"/>
  <c r="Q604" i="34"/>
  <c r="Q594" i="34"/>
  <c r="Q593" i="34"/>
  <c r="Q592" i="34"/>
  <c r="Q591" i="34"/>
  <c r="Q590" i="34"/>
  <c r="Q589" i="34"/>
  <c r="Q588" i="34"/>
  <c r="Q587" i="34"/>
  <c r="Q586" i="34"/>
  <c r="Q585" i="34"/>
  <c r="Q584" i="34"/>
  <c r="Q583" i="34"/>
  <c r="Q582" i="34"/>
  <c r="Q581" i="34"/>
  <c r="Q580" i="34"/>
  <c r="Q579" i="34"/>
  <c r="Q578" i="34"/>
  <c r="Q577" i="34"/>
  <c r="Q576" i="34"/>
  <c r="Q575" i="34"/>
  <c r="Q574" i="34"/>
  <c r="Q573" i="34"/>
  <c r="Q572" i="34"/>
  <c r="Q562" i="34"/>
  <c r="Q561" i="34"/>
  <c r="Q560" i="34"/>
  <c r="Q559" i="34"/>
  <c r="Q558" i="34"/>
  <c r="Q557" i="34"/>
  <c r="Q556" i="34"/>
  <c r="Q555" i="34"/>
  <c r="Q554" i="34"/>
  <c r="Q553" i="34"/>
  <c r="Q552" i="34"/>
  <c r="Q551" i="34"/>
  <c r="Q550" i="34"/>
  <c r="Q549" i="34"/>
  <c r="Q548" i="34"/>
  <c r="Q547" i="34"/>
  <c r="Q546" i="34"/>
  <c r="Q545" i="34"/>
  <c r="Q544" i="34"/>
  <c r="Q543" i="34"/>
  <c r="Q542" i="34"/>
  <c r="Q541" i="34"/>
  <c r="Q540" i="34"/>
  <c r="Q539" i="34"/>
  <c r="Q531" i="34"/>
  <c r="Q530" i="34"/>
  <c r="Q529" i="34"/>
  <c r="Q528" i="34"/>
  <c r="Q527" i="34"/>
  <c r="Q526" i="34"/>
  <c r="Q525" i="34"/>
  <c r="Q524" i="34"/>
  <c r="Q523" i="34"/>
  <c r="Q522" i="34"/>
  <c r="Q521" i="34"/>
  <c r="Q520" i="34"/>
  <c r="Q519" i="34"/>
  <c r="Q518" i="34"/>
  <c r="Q517" i="34"/>
  <c r="Q516" i="34"/>
  <c r="Q515" i="34"/>
  <c r="Q514" i="34"/>
  <c r="Q513" i="34"/>
  <c r="Q512" i="34"/>
  <c r="Q511" i="34"/>
  <c r="Q503" i="34"/>
  <c r="Q502" i="34"/>
  <c r="Q501" i="34"/>
  <c r="Q500" i="34"/>
  <c r="Q499" i="34"/>
  <c r="Q498" i="34"/>
  <c r="Q497" i="34"/>
  <c r="Q496" i="34"/>
  <c r="Q495" i="34"/>
  <c r="Q494" i="34"/>
  <c r="Q493" i="34"/>
  <c r="Q492" i="34"/>
  <c r="Q491" i="34"/>
  <c r="Q490" i="34"/>
  <c r="Q489" i="34"/>
  <c r="Q488" i="34"/>
  <c r="Q487" i="34"/>
  <c r="Q486" i="34"/>
  <c r="Q485" i="34"/>
  <c r="Q484" i="34"/>
  <c r="Q483" i="34"/>
  <c r="Q482" i="34"/>
  <c r="Q474" i="34"/>
  <c r="Q473" i="34"/>
  <c r="Q472" i="34"/>
  <c r="Q471" i="34"/>
  <c r="Q470" i="34"/>
  <c r="Q469" i="34"/>
  <c r="Q468" i="34"/>
  <c r="Q467" i="34"/>
  <c r="Q466" i="34"/>
  <c r="Q465" i="34"/>
  <c r="Q464" i="34"/>
  <c r="Q463" i="34"/>
  <c r="Q462" i="34"/>
  <c r="Q461" i="34"/>
  <c r="Q460" i="34"/>
  <c r="Q459" i="34"/>
  <c r="Q458" i="34"/>
  <c r="Q457" i="34"/>
  <c r="Q456" i="34"/>
  <c r="Q455" i="34"/>
  <c r="Q443" i="34"/>
  <c r="Q442" i="34"/>
  <c r="Q441" i="34"/>
  <c r="Q440" i="34"/>
  <c r="Q439" i="34"/>
  <c r="Q438" i="34"/>
  <c r="Q437" i="34"/>
  <c r="Q436" i="34"/>
  <c r="Q435" i="34"/>
  <c r="Q434" i="34"/>
  <c r="Q433" i="34"/>
  <c r="Q432" i="34"/>
  <c r="Q431" i="34"/>
  <c r="Q430" i="34"/>
  <c r="Q429" i="34"/>
  <c r="Q428" i="34"/>
  <c r="Q427" i="34"/>
  <c r="Q426" i="34"/>
  <c r="Q425" i="34"/>
  <c r="Q424" i="34"/>
  <c r="Q423" i="34"/>
  <c r="Q422" i="34"/>
  <c r="Q421" i="34"/>
  <c r="Q420" i="34"/>
  <c r="Q419" i="34"/>
  <c r="Q418" i="34"/>
  <c r="Q417" i="34"/>
  <c r="Q408" i="34"/>
  <c r="Q407" i="34"/>
  <c r="Q406" i="34"/>
  <c r="Q405" i="34"/>
  <c r="Q404" i="34"/>
  <c r="Q403" i="34"/>
  <c r="Q402" i="34"/>
  <c r="Q401" i="34"/>
  <c r="Q400" i="34"/>
  <c r="Q399" i="34"/>
  <c r="Q398" i="34"/>
  <c r="Q397" i="34"/>
  <c r="Q396" i="34"/>
  <c r="Q395" i="34"/>
  <c r="Q394" i="34"/>
  <c r="Q393" i="34"/>
  <c r="Q392" i="34"/>
  <c r="Q391" i="34"/>
  <c r="Q390" i="34"/>
  <c r="Q389" i="34"/>
  <c r="Q388" i="34"/>
  <c r="Q387" i="34"/>
  <c r="Q374" i="34"/>
  <c r="Q373" i="34"/>
  <c r="Q372" i="34"/>
  <c r="Q371" i="34"/>
  <c r="Q370" i="34"/>
  <c r="Q369" i="34"/>
  <c r="Q368" i="34"/>
  <c r="Q367" i="34"/>
  <c r="Q366" i="34"/>
  <c r="Q365" i="34"/>
  <c r="Q364" i="34"/>
  <c r="Q363" i="34"/>
  <c r="Q362" i="34"/>
  <c r="Q361" i="34"/>
  <c r="Q360" i="34"/>
  <c r="Q359" i="34"/>
  <c r="Q358" i="34"/>
  <c r="Q357" i="34"/>
  <c r="Q356" i="34"/>
  <c r="Q355" i="34"/>
  <c r="Q354" i="34"/>
  <c r="Q353" i="34"/>
  <c r="Q352" i="34"/>
  <c r="Q351" i="34"/>
  <c r="Q350" i="34"/>
  <c r="Q349" i="34"/>
  <c r="Q348" i="34"/>
  <c r="Q347" i="34"/>
  <c r="Q346" i="34"/>
  <c r="Q345" i="34"/>
  <c r="Q337" i="34"/>
  <c r="Q336" i="34"/>
  <c r="Q335" i="34"/>
  <c r="Q334" i="34"/>
  <c r="Q333" i="34"/>
  <c r="Q332" i="34"/>
  <c r="Q331" i="34"/>
  <c r="Q330" i="34"/>
  <c r="Q329" i="34"/>
  <c r="Q328" i="34"/>
  <c r="Q327" i="34"/>
  <c r="Q326" i="34"/>
  <c r="Q325" i="34"/>
  <c r="Q324" i="34"/>
  <c r="Q323" i="34"/>
  <c r="Q322" i="34"/>
  <c r="Q321" i="34"/>
  <c r="Q320" i="34"/>
  <c r="Q319" i="34"/>
  <c r="Q318" i="34"/>
  <c r="Q317" i="34"/>
  <c r="Q316" i="34"/>
  <c r="Q315" i="34"/>
  <c r="Q314" i="34"/>
  <c r="Q313" i="34"/>
  <c r="Q304" i="34"/>
  <c r="Q303" i="34"/>
  <c r="Q302" i="34"/>
  <c r="Q301" i="34"/>
  <c r="Q300" i="34"/>
  <c r="Q299" i="34"/>
  <c r="Q298" i="34"/>
  <c r="Q297" i="34"/>
  <c r="Q296" i="34"/>
  <c r="Q295" i="34"/>
  <c r="Q294" i="34"/>
  <c r="Q293" i="34"/>
  <c r="Q292" i="34"/>
  <c r="Q291" i="34"/>
  <c r="Q290" i="34"/>
  <c r="Q289" i="34"/>
  <c r="Q288" i="34"/>
  <c r="Q287" i="34"/>
  <c r="Q286" i="34"/>
  <c r="Q285" i="34"/>
  <c r="Q284" i="34"/>
  <c r="Q274" i="34"/>
  <c r="Q273" i="34"/>
  <c r="Q272" i="34"/>
  <c r="Q271" i="34"/>
  <c r="Q270" i="34"/>
  <c r="Q269" i="34"/>
  <c r="Q268" i="34"/>
  <c r="Q267" i="34"/>
  <c r="Q266" i="34"/>
  <c r="Q265" i="34"/>
  <c r="Q264" i="34"/>
  <c r="Q263" i="34"/>
  <c r="Q262" i="34"/>
  <c r="Q261" i="34"/>
  <c r="Q260" i="34"/>
  <c r="Q259" i="34"/>
  <c r="Q258" i="34"/>
  <c r="Q257" i="34"/>
  <c r="Q256" i="34"/>
  <c r="Q255" i="34"/>
  <c r="Q254" i="34"/>
  <c r="Q253" i="34"/>
  <c r="Q252" i="34"/>
  <c r="Q237" i="34"/>
  <c r="Q236" i="34"/>
  <c r="Q235" i="34"/>
  <c r="Q234" i="34"/>
  <c r="Q233" i="34"/>
  <c r="Q232" i="34"/>
  <c r="Q231" i="34"/>
  <c r="Q230" i="34"/>
  <c r="Q229" i="34"/>
  <c r="Q228" i="34"/>
  <c r="Q227" i="34"/>
  <c r="Q226" i="34"/>
  <c r="Q225" i="34"/>
  <c r="Q224" i="34"/>
  <c r="Q223" i="34"/>
  <c r="Q222" i="34"/>
  <c r="Q221" i="34"/>
  <c r="Q220" i="34"/>
  <c r="Q219" i="34"/>
  <c r="Q218" i="34"/>
  <c r="Q217" i="34"/>
  <c r="Q216" i="34"/>
  <c r="Q215" i="34"/>
  <c r="Q214" i="34"/>
  <c r="Q213" i="34"/>
  <c r="Q212" i="34"/>
  <c r="Q211" i="34"/>
  <c r="Q210" i="34"/>
  <c r="Q201" i="34"/>
  <c r="Q200" i="34"/>
  <c r="Q199" i="34"/>
  <c r="Q198" i="34"/>
  <c r="Q197" i="34"/>
  <c r="Q196" i="34"/>
  <c r="Q195" i="34"/>
  <c r="Q194" i="34"/>
  <c r="Q193" i="34"/>
  <c r="Q192" i="34"/>
  <c r="Q191" i="34"/>
  <c r="Q190" i="34"/>
  <c r="Q189" i="34"/>
  <c r="Q188" i="34"/>
  <c r="Q187" i="34"/>
  <c r="Q186" i="34"/>
  <c r="Q185" i="34"/>
  <c r="Q184" i="34"/>
  <c r="Q183" i="34"/>
  <c r="Q182" i="34"/>
  <c r="Q181" i="34"/>
  <c r="Q180" i="34"/>
  <c r="Q179" i="34"/>
  <c r="Q178" i="34"/>
  <c r="Q177" i="34"/>
  <c r="Q176" i="34"/>
  <c r="Q175" i="34"/>
  <c r="Q174" i="34"/>
  <c r="Q173" i="34"/>
  <c r="Q172" i="34"/>
  <c r="Q164" i="34"/>
  <c r="Q163" i="34"/>
  <c r="Q162" i="34"/>
  <c r="Q161" i="34"/>
  <c r="Q160" i="34"/>
  <c r="Q159" i="34"/>
  <c r="Q158" i="34"/>
  <c r="Q157" i="34"/>
  <c r="Q156" i="34"/>
  <c r="Q155" i="34"/>
  <c r="Q154" i="34"/>
  <c r="Q153" i="34"/>
  <c r="Q152" i="34"/>
  <c r="Q151" i="34"/>
  <c r="Q150" i="34"/>
  <c r="Q149" i="34"/>
  <c r="Q148" i="34"/>
  <c r="Q147" i="34"/>
  <c r="Q146" i="34"/>
  <c r="Q145" i="34"/>
  <c r="Q144" i="34"/>
  <c r="Q143" i="34"/>
  <c r="Q142" i="34"/>
  <c r="Q131" i="34"/>
  <c r="Q130" i="34"/>
  <c r="Q129" i="34"/>
  <c r="Q128" i="34"/>
  <c r="Q127" i="34"/>
  <c r="Q126" i="34"/>
  <c r="Q125" i="34"/>
  <c r="Q124" i="34"/>
  <c r="Q123" i="34"/>
  <c r="Q122" i="34"/>
  <c r="Q121" i="34"/>
  <c r="Q120" i="34"/>
  <c r="Q119" i="34"/>
  <c r="Q118" i="34"/>
  <c r="Q117" i="34"/>
  <c r="Q116" i="34"/>
  <c r="Q115" i="34"/>
  <c r="Q114" i="34"/>
  <c r="Q113" i="34"/>
  <c r="Q112" i="34"/>
  <c r="Q111" i="34"/>
  <c r="Q110" i="34"/>
  <c r="Q109" i="34"/>
  <c r="Q108" i="34"/>
  <c r="Q107" i="34"/>
  <c r="Q106" i="34"/>
  <c r="Q93" i="34"/>
  <c r="Q92" i="34"/>
  <c r="Q91" i="34"/>
  <c r="Q90" i="34"/>
  <c r="Q89" i="34"/>
  <c r="Q88" i="34"/>
  <c r="Q87" i="34"/>
  <c r="Q86" i="34"/>
  <c r="Q85" i="34"/>
  <c r="Q84" i="34"/>
  <c r="Q83" i="34"/>
  <c r="Q82" i="34"/>
  <c r="Q81" i="34"/>
  <c r="Q80" i="34"/>
  <c r="Q79" i="34"/>
  <c r="Q78" i="34"/>
  <c r="Q77" i="34"/>
  <c r="Q76" i="34"/>
  <c r="Q75" i="34"/>
  <c r="Q74" i="34"/>
  <c r="Q73" i="34"/>
  <c r="Q72" i="34"/>
  <c r="Q65" i="34"/>
  <c r="Q64" i="34"/>
  <c r="Q63" i="34"/>
  <c r="Q62" i="34"/>
  <c r="Q61" i="34"/>
  <c r="Q60" i="34"/>
  <c r="Q59" i="34"/>
  <c r="Q58" i="34"/>
  <c r="Q57" i="34"/>
  <c r="Q56" i="34"/>
  <c r="Q55" i="34"/>
  <c r="Q54" i="34"/>
  <c r="Q53" i="34"/>
  <c r="Q52" i="34"/>
  <c r="Q51" i="34"/>
  <c r="Q50" i="34"/>
  <c r="Q49" i="34"/>
  <c r="Q48" i="34"/>
  <c r="Q47" i="34"/>
  <c r="Q46" i="34"/>
  <c r="Q45" i="34"/>
  <c r="Q44" i="34"/>
  <c r="Q39" i="34"/>
  <c r="Q38" i="34"/>
  <c r="Q33" i="34"/>
  <c r="Q32" i="34"/>
  <c r="Q29" i="34"/>
  <c r="Q23" i="34"/>
  <c r="Q20" i="34"/>
  <c r="Q10" i="34"/>
  <c r="Q9" i="34"/>
  <c r="N6" i="34"/>
  <c r="G8" i="3" l="1"/>
  <c r="J8" i="3" s="1"/>
  <c r="G9" i="3"/>
  <c r="G10" i="3"/>
  <c r="G11" i="3"/>
  <c r="J11" i="3" s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7" i="3"/>
  <c r="J7" i="3" s="1"/>
  <c r="F30" i="4"/>
  <c r="C10" i="21" l="1"/>
  <c r="F11" i="21" s="1"/>
  <c r="F12" i="21" s="1"/>
  <c r="G41" i="4" l="1"/>
  <c r="H41" i="4"/>
  <c r="M34" i="3" l="1"/>
  <c r="M28" i="3"/>
  <c r="M11" i="3" l="1"/>
  <c r="P1" i="34" l="1"/>
  <c r="Q8" i="34"/>
  <c r="P779" i="34"/>
  <c r="P766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109" i="34"/>
  <c r="O110" i="34"/>
  <c r="O111" i="34"/>
  <c r="O112" i="34"/>
  <c r="O113" i="34"/>
  <c r="O114" i="34"/>
  <c r="O115" i="34"/>
  <c r="O116" i="34"/>
  <c r="O117" i="34"/>
  <c r="O118" i="34"/>
  <c r="O119" i="34"/>
  <c r="O120" i="34"/>
  <c r="O121" i="34"/>
  <c r="O122" i="34"/>
  <c r="O123" i="34"/>
  <c r="O124" i="34"/>
  <c r="O125" i="34"/>
  <c r="O126" i="34"/>
  <c r="O127" i="34"/>
  <c r="O128" i="34"/>
  <c r="O129" i="34"/>
  <c r="O130" i="34"/>
  <c r="O131" i="34"/>
  <c r="O132" i="34"/>
  <c r="O133" i="34"/>
  <c r="O134" i="34"/>
  <c r="O135" i="34"/>
  <c r="O136" i="34"/>
  <c r="O137" i="34"/>
  <c r="O138" i="34"/>
  <c r="O139" i="34"/>
  <c r="O140" i="34"/>
  <c r="O141" i="34"/>
  <c r="O142" i="34"/>
  <c r="O143" i="34"/>
  <c r="O144" i="34"/>
  <c r="O145" i="34"/>
  <c r="O146" i="34"/>
  <c r="O147" i="34"/>
  <c r="O148" i="34"/>
  <c r="O149" i="34"/>
  <c r="O150" i="34"/>
  <c r="O151" i="34"/>
  <c r="O152" i="34"/>
  <c r="O153" i="34"/>
  <c r="O154" i="34"/>
  <c r="O155" i="34"/>
  <c r="O156" i="34"/>
  <c r="O157" i="34"/>
  <c r="O158" i="34"/>
  <c r="O159" i="34"/>
  <c r="O160" i="34"/>
  <c r="O161" i="34"/>
  <c r="O162" i="34"/>
  <c r="O163" i="34"/>
  <c r="O164" i="34"/>
  <c r="O165" i="34"/>
  <c r="O166" i="34"/>
  <c r="O167" i="34"/>
  <c r="O168" i="34"/>
  <c r="O169" i="34"/>
  <c r="O170" i="34"/>
  <c r="O171" i="34"/>
  <c r="O172" i="34"/>
  <c r="O173" i="34"/>
  <c r="O174" i="34"/>
  <c r="O175" i="34"/>
  <c r="O176" i="34"/>
  <c r="O177" i="34"/>
  <c r="O178" i="34"/>
  <c r="O179" i="34"/>
  <c r="O180" i="34"/>
  <c r="O181" i="34"/>
  <c r="O182" i="34"/>
  <c r="O183" i="34"/>
  <c r="O184" i="34"/>
  <c r="O185" i="34"/>
  <c r="O186" i="34"/>
  <c r="O187" i="34"/>
  <c r="O188" i="34"/>
  <c r="O189" i="34"/>
  <c r="O190" i="34"/>
  <c r="O191" i="34"/>
  <c r="O192" i="34"/>
  <c r="O193" i="34"/>
  <c r="O194" i="34"/>
  <c r="O195" i="34"/>
  <c r="O196" i="34"/>
  <c r="O197" i="34"/>
  <c r="O198" i="34"/>
  <c r="O199" i="34"/>
  <c r="O200" i="34"/>
  <c r="O201" i="34"/>
  <c r="O202" i="34"/>
  <c r="O203" i="34"/>
  <c r="O204" i="34"/>
  <c r="O205" i="34"/>
  <c r="O206" i="34"/>
  <c r="O207" i="34"/>
  <c r="O208" i="34"/>
  <c r="O209" i="34"/>
  <c r="O210" i="34"/>
  <c r="O211" i="34"/>
  <c r="O212" i="34"/>
  <c r="O213" i="34"/>
  <c r="O214" i="34"/>
  <c r="O215" i="34"/>
  <c r="O216" i="34"/>
  <c r="O217" i="34"/>
  <c r="O218" i="34"/>
  <c r="O219" i="34"/>
  <c r="O220" i="34"/>
  <c r="O221" i="34"/>
  <c r="O222" i="34"/>
  <c r="O223" i="34"/>
  <c r="O224" i="34"/>
  <c r="O225" i="34"/>
  <c r="O226" i="34"/>
  <c r="O227" i="34"/>
  <c r="O228" i="34"/>
  <c r="O229" i="34"/>
  <c r="O230" i="34"/>
  <c r="O231" i="34"/>
  <c r="O232" i="34"/>
  <c r="O233" i="34"/>
  <c r="O234" i="34"/>
  <c r="O235" i="34"/>
  <c r="O236" i="34"/>
  <c r="O237" i="34"/>
  <c r="O238" i="34"/>
  <c r="O239" i="34"/>
  <c r="O240" i="34"/>
  <c r="O241" i="34"/>
  <c r="O242" i="34"/>
  <c r="O243" i="34"/>
  <c r="O244" i="34"/>
  <c r="O245" i="34"/>
  <c r="O246" i="34"/>
  <c r="O247" i="34"/>
  <c r="O248" i="34"/>
  <c r="O249" i="34"/>
  <c r="O250" i="34"/>
  <c r="O251" i="34"/>
  <c r="O252" i="34"/>
  <c r="O253" i="34"/>
  <c r="O254" i="34"/>
  <c r="O255" i="34"/>
  <c r="O256" i="34"/>
  <c r="O257" i="34"/>
  <c r="O258" i="34"/>
  <c r="O259" i="34"/>
  <c r="O260" i="34"/>
  <c r="O261" i="34"/>
  <c r="O262" i="34"/>
  <c r="O263" i="34"/>
  <c r="O264" i="34"/>
  <c r="O265" i="34"/>
  <c r="O266" i="34"/>
  <c r="O267" i="34"/>
  <c r="O268" i="34"/>
  <c r="O269" i="34"/>
  <c r="O270" i="34"/>
  <c r="O271" i="34"/>
  <c r="O272" i="34"/>
  <c r="O273" i="34"/>
  <c r="O274" i="34"/>
  <c r="O275" i="34"/>
  <c r="O276" i="34"/>
  <c r="O277" i="34"/>
  <c r="O278" i="34"/>
  <c r="O279" i="34"/>
  <c r="O280" i="34"/>
  <c r="O281" i="34"/>
  <c r="O282" i="34"/>
  <c r="O283" i="34"/>
  <c r="O284" i="34"/>
  <c r="O285" i="34"/>
  <c r="O286" i="34"/>
  <c r="O287" i="34"/>
  <c r="O288" i="34"/>
  <c r="O289" i="34"/>
  <c r="O290" i="34"/>
  <c r="O291" i="34"/>
  <c r="O292" i="34"/>
  <c r="O293" i="34"/>
  <c r="O294" i="34"/>
  <c r="O295" i="34"/>
  <c r="O296" i="34"/>
  <c r="O297" i="34"/>
  <c r="O298" i="34"/>
  <c r="O299" i="34"/>
  <c r="O300" i="34"/>
  <c r="O301" i="34"/>
  <c r="O302" i="34"/>
  <c r="O303" i="34"/>
  <c r="O304" i="34"/>
  <c r="O305" i="34"/>
  <c r="O306" i="34"/>
  <c r="O307" i="34"/>
  <c r="O308" i="34"/>
  <c r="O309" i="34"/>
  <c r="O310" i="34"/>
  <c r="O311" i="34"/>
  <c r="O312" i="34"/>
  <c r="O313" i="34"/>
  <c r="O314" i="34"/>
  <c r="O315" i="34"/>
  <c r="O316" i="34"/>
  <c r="O317" i="34"/>
  <c r="O318" i="34"/>
  <c r="O319" i="34"/>
  <c r="O320" i="34"/>
  <c r="O321" i="34"/>
  <c r="O322" i="34"/>
  <c r="O323" i="34"/>
  <c r="O324" i="34"/>
  <c r="O325" i="34"/>
  <c r="O326" i="34"/>
  <c r="O327" i="34"/>
  <c r="O328" i="34"/>
  <c r="O329" i="34"/>
  <c r="O330" i="34"/>
  <c r="O331" i="34"/>
  <c r="O332" i="34"/>
  <c r="O333" i="34"/>
  <c r="O334" i="34"/>
  <c r="O335" i="34"/>
  <c r="O336" i="34"/>
  <c r="O337" i="34"/>
  <c r="O338" i="34"/>
  <c r="O339" i="34"/>
  <c r="O340" i="34"/>
  <c r="O341" i="34"/>
  <c r="O342" i="34"/>
  <c r="O343" i="34"/>
  <c r="O344" i="34"/>
  <c r="O345" i="34"/>
  <c r="O346" i="34"/>
  <c r="O347" i="34"/>
  <c r="O348" i="34"/>
  <c r="O349" i="34"/>
  <c r="O350" i="34"/>
  <c r="O351" i="34"/>
  <c r="O352" i="34"/>
  <c r="O353" i="34"/>
  <c r="O354" i="34"/>
  <c r="O355" i="34"/>
  <c r="O356" i="34"/>
  <c r="O357" i="34"/>
  <c r="O358" i="34"/>
  <c r="O359" i="34"/>
  <c r="O360" i="34"/>
  <c r="O361" i="34"/>
  <c r="O362" i="34"/>
  <c r="O363" i="34"/>
  <c r="O364" i="34"/>
  <c r="O365" i="34"/>
  <c r="O366" i="34"/>
  <c r="O367" i="34"/>
  <c r="O368" i="34"/>
  <c r="O369" i="34"/>
  <c r="O370" i="34"/>
  <c r="O371" i="34"/>
  <c r="O372" i="34"/>
  <c r="O373" i="34"/>
  <c r="O374" i="34"/>
  <c r="O375" i="34"/>
  <c r="O376" i="34"/>
  <c r="O377" i="34"/>
  <c r="O378" i="34"/>
  <c r="O379" i="34"/>
  <c r="O380" i="34"/>
  <c r="O381" i="34"/>
  <c r="O382" i="34"/>
  <c r="O383" i="34"/>
  <c r="O384" i="34"/>
  <c r="O385" i="34"/>
  <c r="O386" i="34"/>
  <c r="O387" i="34"/>
  <c r="O388" i="34"/>
  <c r="O389" i="34"/>
  <c r="O390" i="34"/>
  <c r="O391" i="34"/>
  <c r="O392" i="34"/>
  <c r="O393" i="34"/>
  <c r="O394" i="34"/>
  <c r="O395" i="34"/>
  <c r="O396" i="34"/>
  <c r="O397" i="34"/>
  <c r="O398" i="34"/>
  <c r="O399" i="34"/>
  <c r="O400" i="34"/>
  <c r="O401" i="34"/>
  <c r="O402" i="34"/>
  <c r="O403" i="34"/>
  <c r="O404" i="34"/>
  <c r="O405" i="34"/>
  <c r="O406" i="34"/>
  <c r="O407" i="34"/>
  <c r="O408" i="34"/>
  <c r="O409" i="34"/>
  <c r="O410" i="34"/>
  <c r="O411" i="34"/>
  <c r="O412" i="34"/>
  <c r="O413" i="34"/>
  <c r="O414" i="34"/>
  <c r="O415" i="34"/>
  <c r="O416" i="34"/>
  <c r="O417" i="34"/>
  <c r="O418" i="34"/>
  <c r="O419" i="34"/>
  <c r="O420" i="34"/>
  <c r="O421" i="34"/>
  <c r="O422" i="34"/>
  <c r="O423" i="34"/>
  <c r="O424" i="34"/>
  <c r="O425" i="34"/>
  <c r="O426" i="34"/>
  <c r="O427" i="34"/>
  <c r="O428" i="34"/>
  <c r="O429" i="34"/>
  <c r="O430" i="34"/>
  <c r="O431" i="34"/>
  <c r="O432" i="34"/>
  <c r="O433" i="34"/>
  <c r="O434" i="34"/>
  <c r="O435" i="34"/>
  <c r="O436" i="34"/>
  <c r="O437" i="34"/>
  <c r="O438" i="34"/>
  <c r="O439" i="34"/>
  <c r="O440" i="34"/>
  <c r="O441" i="34"/>
  <c r="O442" i="34"/>
  <c r="O443" i="34"/>
  <c r="O444" i="34"/>
  <c r="O445" i="34"/>
  <c r="O446" i="34"/>
  <c r="O447" i="34"/>
  <c r="O448" i="34"/>
  <c r="O449" i="34"/>
  <c r="O450" i="34"/>
  <c r="O451" i="34"/>
  <c r="O452" i="34"/>
  <c r="O453" i="34"/>
  <c r="O454" i="34"/>
  <c r="O455" i="34"/>
  <c r="O456" i="34"/>
  <c r="O457" i="34"/>
  <c r="O458" i="34"/>
  <c r="O459" i="34"/>
  <c r="O460" i="34"/>
  <c r="O461" i="34"/>
  <c r="O462" i="34"/>
  <c r="O463" i="34"/>
  <c r="O464" i="34"/>
  <c r="O465" i="34"/>
  <c r="O466" i="34"/>
  <c r="O467" i="34"/>
  <c r="O468" i="34"/>
  <c r="O469" i="34"/>
  <c r="O470" i="34"/>
  <c r="O471" i="34"/>
  <c r="O472" i="34"/>
  <c r="O473" i="34"/>
  <c r="O474" i="34"/>
  <c r="O475" i="34"/>
  <c r="O476" i="34"/>
  <c r="O477" i="34"/>
  <c r="O478" i="34"/>
  <c r="O479" i="34"/>
  <c r="O480" i="34"/>
  <c r="O481" i="34"/>
  <c r="O482" i="34"/>
  <c r="O483" i="34"/>
  <c r="O484" i="34"/>
  <c r="O485" i="34"/>
  <c r="O486" i="34"/>
  <c r="O487" i="34"/>
  <c r="O488" i="34"/>
  <c r="O489" i="34"/>
  <c r="O490" i="34"/>
  <c r="O491" i="34"/>
  <c r="O492" i="34"/>
  <c r="O493" i="34"/>
  <c r="O494" i="34"/>
  <c r="O495" i="34"/>
  <c r="O496" i="34"/>
  <c r="O497" i="34"/>
  <c r="O498" i="34"/>
  <c r="O499" i="34"/>
  <c r="O500" i="34"/>
  <c r="O501" i="34"/>
  <c r="O502" i="34"/>
  <c r="O503" i="34"/>
  <c r="O504" i="34"/>
  <c r="O505" i="34"/>
  <c r="O506" i="34"/>
  <c r="O507" i="34"/>
  <c r="O508" i="34"/>
  <c r="O509" i="34"/>
  <c r="O510" i="34"/>
  <c r="O511" i="34"/>
  <c r="O512" i="34"/>
  <c r="O513" i="34"/>
  <c r="O514" i="34"/>
  <c r="O515" i="34"/>
  <c r="O516" i="34"/>
  <c r="O517" i="34"/>
  <c r="O518" i="34"/>
  <c r="O519" i="34"/>
  <c r="O520" i="34"/>
  <c r="O521" i="34"/>
  <c r="O522" i="34"/>
  <c r="O523" i="34"/>
  <c r="O524" i="34"/>
  <c r="O525" i="34"/>
  <c r="O526" i="34"/>
  <c r="O527" i="34"/>
  <c r="O528" i="34"/>
  <c r="O529" i="34"/>
  <c r="O530" i="34"/>
  <c r="O531" i="34"/>
  <c r="O532" i="34"/>
  <c r="O533" i="34"/>
  <c r="O534" i="34"/>
  <c r="O535" i="34"/>
  <c r="O536" i="34"/>
  <c r="O537" i="34"/>
  <c r="O538" i="34"/>
  <c r="O539" i="34"/>
  <c r="O540" i="34"/>
  <c r="O541" i="34"/>
  <c r="O542" i="34"/>
  <c r="O543" i="34"/>
  <c r="O544" i="34"/>
  <c r="O545" i="34"/>
  <c r="O546" i="34"/>
  <c r="O547" i="34"/>
  <c r="O548" i="34"/>
  <c r="O549" i="34"/>
  <c r="O550" i="34"/>
  <c r="O551" i="34"/>
  <c r="O552" i="34"/>
  <c r="O553" i="34"/>
  <c r="O554" i="34"/>
  <c r="O555" i="34"/>
  <c r="O556" i="34"/>
  <c r="O557" i="34"/>
  <c r="O558" i="34"/>
  <c r="O559" i="34"/>
  <c r="O560" i="34"/>
  <c r="O561" i="34"/>
  <c r="O562" i="34"/>
  <c r="O563" i="34"/>
  <c r="O564" i="34"/>
  <c r="O565" i="34"/>
  <c r="O566" i="34"/>
  <c r="O567" i="34"/>
  <c r="O568" i="34"/>
  <c r="O569" i="34"/>
  <c r="O570" i="34"/>
  <c r="O571" i="34"/>
  <c r="O572" i="34"/>
  <c r="O573" i="34"/>
  <c r="O574" i="34"/>
  <c r="O575" i="34"/>
  <c r="O576" i="34"/>
  <c r="O577" i="34"/>
  <c r="O578" i="34"/>
  <c r="O579" i="34"/>
  <c r="O580" i="34"/>
  <c r="O581" i="34"/>
  <c r="O582" i="34"/>
  <c r="O583" i="34"/>
  <c r="O584" i="34"/>
  <c r="O585" i="34"/>
  <c r="O586" i="34"/>
  <c r="O587" i="34"/>
  <c r="O588" i="34"/>
  <c r="O589" i="34"/>
  <c r="O590" i="34"/>
  <c r="O591" i="34"/>
  <c r="O592" i="34"/>
  <c r="O593" i="34"/>
  <c r="O594" i="34"/>
  <c r="O595" i="34"/>
  <c r="O596" i="34"/>
  <c r="O597" i="34"/>
  <c r="O598" i="34"/>
  <c r="O599" i="34"/>
  <c r="O600" i="34"/>
  <c r="O601" i="34"/>
  <c r="O602" i="34"/>
  <c r="O603" i="34"/>
  <c r="O604" i="34"/>
  <c r="O605" i="34"/>
  <c r="O606" i="34"/>
  <c r="O607" i="34"/>
  <c r="O608" i="34"/>
  <c r="O609" i="34"/>
  <c r="O610" i="34"/>
  <c r="O611" i="34"/>
  <c r="O612" i="34"/>
  <c r="O613" i="34"/>
  <c r="O614" i="34"/>
  <c r="O615" i="34"/>
  <c r="O616" i="34"/>
  <c r="O617" i="34"/>
  <c r="O618" i="34"/>
  <c r="O619" i="34"/>
  <c r="O620" i="34"/>
  <c r="O621" i="34"/>
  <c r="O622" i="34"/>
  <c r="O623" i="34"/>
  <c r="O624" i="34"/>
  <c r="O625" i="34"/>
  <c r="O626" i="34"/>
  <c r="O627" i="34"/>
  <c r="O628" i="34"/>
  <c r="O629" i="34"/>
  <c r="O630" i="34"/>
  <c r="O631" i="34"/>
  <c r="O632" i="34"/>
  <c r="O633" i="34"/>
  <c r="O634" i="34"/>
  <c r="O635" i="34"/>
  <c r="O636" i="34"/>
  <c r="O637" i="34"/>
  <c r="O638" i="34"/>
  <c r="O639" i="34"/>
  <c r="O640" i="34"/>
  <c r="O641" i="34"/>
  <c r="O642" i="34"/>
  <c r="O643" i="34"/>
  <c r="O644" i="34"/>
  <c r="O645" i="34"/>
  <c r="O646" i="34"/>
  <c r="O647" i="34"/>
  <c r="O648" i="34"/>
  <c r="O649" i="34"/>
  <c r="O650" i="34"/>
  <c r="O651" i="34"/>
  <c r="O652" i="34"/>
  <c r="O653" i="34"/>
  <c r="O654" i="34"/>
  <c r="O655" i="34"/>
  <c r="O656" i="34"/>
  <c r="O657" i="34"/>
  <c r="O658" i="34"/>
  <c r="O659" i="34"/>
  <c r="O660" i="34"/>
  <c r="O661" i="34"/>
  <c r="O662" i="34"/>
  <c r="O663" i="34"/>
  <c r="O664" i="34"/>
  <c r="O665" i="34"/>
  <c r="O666" i="34"/>
  <c r="O667" i="34"/>
  <c r="O668" i="34"/>
  <c r="O669" i="34"/>
  <c r="O670" i="34"/>
  <c r="O671" i="34"/>
  <c r="O672" i="34"/>
  <c r="O673" i="34"/>
  <c r="O674" i="34"/>
  <c r="O675" i="34"/>
  <c r="O676" i="34"/>
  <c r="O677" i="34"/>
  <c r="O678" i="34"/>
  <c r="O679" i="34"/>
  <c r="O680" i="34"/>
  <c r="O681" i="34"/>
  <c r="O682" i="34"/>
  <c r="O683" i="34"/>
  <c r="O684" i="34"/>
  <c r="O685" i="34"/>
  <c r="O686" i="34"/>
  <c r="O687" i="34"/>
  <c r="O688" i="34"/>
  <c r="O689" i="34"/>
  <c r="O690" i="34"/>
  <c r="O691" i="34"/>
  <c r="O692" i="34"/>
  <c r="O693" i="34"/>
  <c r="O694" i="34"/>
  <c r="O695" i="34"/>
  <c r="O696" i="34"/>
  <c r="O697" i="34"/>
  <c r="O698" i="34"/>
  <c r="O699" i="34"/>
  <c r="O700" i="34"/>
  <c r="O701" i="34"/>
  <c r="O702" i="34"/>
  <c r="O703" i="34"/>
  <c r="O704" i="34"/>
  <c r="O705" i="34"/>
  <c r="O706" i="34"/>
  <c r="O707" i="34"/>
  <c r="O708" i="34"/>
  <c r="O709" i="34"/>
  <c r="O710" i="34"/>
  <c r="O711" i="34"/>
  <c r="O712" i="34"/>
  <c r="O713" i="34"/>
  <c r="O714" i="34"/>
  <c r="O715" i="34"/>
  <c r="O716" i="34"/>
  <c r="O717" i="34"/>
  <c r="O718" i="34"/>
  <c r="O719" i="34"/>
  <c r="O720" i="34"/>
  <c r="O721" i="34"/>
  <c r="O722" i="34"/>
  <c r="O723" i="34"/>
  <c r="O724" i="34"/>
  <c r="O725" i="34"/>
  <c r="O726" i="34"/>
  <c r="O727" i="34"/>
  <c r="O728" i="34"/>
  <c r="O729" i="34"/>
  <c r="O730" i="34"/>
  <c r="O731" i="34"/>
  <c r="O732" i="34"/>
  <c r="O733" i="34"/>
  <c r="O734" i="34"/>
  <c r="O735" i="34"/>
  <c r="O736" i="34"/>
  <c r="O737" i="34"/>
  <c r="O738" i="34"/>
  <c r="O739" i="34"/>
  <c r="O740" i="34"/>
  <c r="O741" i="34"/>
  <c r="O742" i="34"/>
  <c r="O743" i="34"/>
  <c r="O744" i="34"/>
  <c r="O745" i="34"/>
  <c r="O746" i="34"/>
  <c r="O747" i="34"/>
  <c r="O748" i="34"/>
  <c r="O749" i="34"/>
  <c r="O750" i="34"/>
  <c r="O751" i="34"/>
  <c r="O752" i="34"/>
  <c r="O753" i="34"/>
  <c r="O754" i="34"/>
  <c r="O755" i="34"/>
  <c r="O756" i="34"/>
  <c r="O757" i="34"/>
  <c r="O758" i="34"/>
  <c r="O759" i="34"/>
  <c r="O760" i="34"/>
  <c r="O761" i="34"/>
  <c r="O762" i="34"/>
  <c r="O763" i="34"/>
  <c r="O764" i="34"/>
  <c r="O765" i="34"/>
  <c r="O766" i="34"/>
  <c r="O767" i="34"/>
  <c r="O768" i="34"/>
  <c r="O769" i="34"/>
  <c r="O770" i="34"/>
  <c r="O771" i="34"/>
  <c r="O772" i="34"/>
  <c r="O773" i="34"/>
  <c r="O774" i="34"/>
  <c r="O775" i="34"/>
  <c r="O776" i="34"/>
  <c r="O777" i="34"/>
  <c r="O778" i="34"/>
  <c r="O779" i="34"/>
  <c r="O780" i="34"/>
  <c r="O781" i="34"/>
  <c r="O782" i="34"/>
  <c r="O783" i="34"/>
  <c r="O784" i="34"/>
  <c r="O785" i="34"/>
  <c r="O786" i="34"/>
  <c r="O787" i="34"/>
  <c r="O788" i="34"/>
  <c r="O789" i="34"/>
  <c r="O790" i="34"/>
  <c r="O791" i="34"/>
  <c r="O792" i="34"/>
  <c r="O793" i="34"/>
  <c r="O794" i="34"/>
  <c r="O795" i="34"/>
  <c r="O796" i="34"/>
  <c r="O797" i="34"/>
  <c r="O798" i="34"/>
  <c r="O799" i="34"/>
  <c r="O800" i="34"/>
  <c r="O801" i="34"/>
  <c r="O802" i="34"/>
  <c r="O803" i="34"/>
  <c r="O804" i="34"/>
  <c r="O805" i="34"/>
  <c r="O806" i="34"/>
  <c r="O807" i="34"/>
  <c r="O808" i="34"/>
  <c r="O809" i="34"/>
  <c r="O810" i="34"/>
  <c r="O811" i="34"/>
  <c r="O812" i="34"/>
  <c r="O813" i="34"/>
  <c r="O814" i="34"/>
  <c r="O815" i="34"/>
  <c r="O816" i="34"/>
  <c r="O817" i="34"/>
  <c r="O818" i="34"/>
  <c r="O819" i="34"/>
  <c r="O820" i="34"/>
  <c r="O821" i="34"/>
  <c r="O822" i="34"/>
  <c r="O823" i="34"/>
  <c r="O824" i="34"/>
  <c r="O825" i="34"/>
  <c r="O826" i="34"/>
  <c r="O827" i="34"/>
  <c r="O828" i="34"/>
  <c r="O829" i="34"/>
  <c r="O830" i="34"/>
  <c r="O831" i="34"/>
  <c r="O832" i="34"/>
  <c r="O833" i="34"/>
  <c r="O834" i="34"/>
  <c r="O835" i="34"/>
  <c r="O836" i="34"/>
  <c r="O837" i="34"/>
  <c r="O838" i="34"/>
  <c r="O839" i="34"/>
  <c r="O840" i="34"/>
  <c r="O841" i="34"/>
  <c r="O842" i="34"/>
  <c r="O843" i="34"/>
  <c r="O844" i="34"/>
  <c r="O845" i="34"/>
  <c r="O846" i="34"/>
  <c r="O847" i="34"/>
  <c r="O848" i="34"/>
  <c r="O849" i="34"/>
  <c r="O850" i="34"/>
  <c r="O851" i="34"/>
  <c r="O852" i="34"/>
  <c r="O853" i="34"/>
  <c r="O854" i="34"/>
  <c r="O855" i="34"/>
  <c r="O856" i="34"/>
  <c r="O857" i="34"/>
  <c r="O858" i="34"/>
  <c r="O859" i="34"/>
  <c r="O860" i="34"/>
  <c r="O861" i="34"/>
  <c r="O862" i="34"/>
  <c r="O863" i="34"/>
  <c r="O864" i="34"/>
  <c r="O865" i="34"/>
  <c r="O866" i="34"/>
  <c r="O867" i="34"/>
  <c r="O868" i="34"/>
  <c r="O869" i="34"/>
  <c r="O870" i="34"/>
  <c r="O871" i="34"/>
  <c r="O872" i="34"/>
  <c r="O873" i="34"/>
  <c r="O874" i="34"/>
  <c r="O875" i="34"/>
  <c r="O876" i="34"/>
  <c r="O877" i="34"/>
  <c r="O878" i="34"/>
  <c r="O879" i="34"/>
  <c r="O880" i="34"/>
  <c r="O881" i="34"/>
  <c r="O882" i="34"/>
  <c r="O883" i="34"/>
  <c r="O884" i="34"/>
  <c r="O885" i="34"/>
  <c r="O886" i="34"/>
  <c r="O887" i="34"/>
  <c r="O888" i="34"/>
  <c r="O889" i="34"/>
  <c r="O890" i="34"/>
  <c r="O891" i="34"/>
  <c r="O892" i="34"/>
  <c r="O893" i="34"/>
  <c r="O894" i="34"/>
  <c r="O895" i="34"/>
  <c r="O896" i="34"/>
  <c r="O897" i="34"/>
  <c r="O898" i="34"/>
  <c r="O899" i="34"/>
  <c r="O900" i="34"/>
  <c r="O901" i="34"/>
  <c r="O902" i="34"/>
  <c r="O903" i="34"/>
  <c r="O904" i="34"/>
  <c r="O905" i="34"/>
  <c r="O906" i="34"/>
  <c r="O907" i="34"/>
  <c r="O908" i="34"/>
  <c r="O909" i="34"/>
  <c r="O910" i="34"/>
  <c r="O911" i="34"/>
  <c r="O912" i="34"/>
  <c r="O913" i="34"/>
  <c r="O914" i="34"/>
  <c r="O915" i="34"/>
  <c r="O916" i="34"/>
  <c r="O917" i="34"/>
  <c r="O918" i="34"/>
  <c r="O919" i="34"/>
  <c r="O920" i="34"/>
  <c r="O921" i="34"/>
  <c r="O922" i="34"/>
  <c r="O923" i="34"/>
  <c r="O924" i="34"/>
  <c r="O925" i="34"/>
  <c r="O926" i="34"/>
  <c r="O927" i="34"/>
  <c r="O928" i="34"/>
  <c r="O929" i="34"/>
  <c r="O930" i="34"/>
  <c r="O931" i="34"/>
  <c r="O932" i="34"/>
  <c r="O933" i="34"/>
  <c r="O934" i="34"/>
  <c r="O935" i="34"/>
  <c r="O936" i="34"/>
  <c r="O937" i="34"/>
  <c r="O938" i="34"/>
  <c r="O939" i="34"/>
  <c r="O940" i="34"/>
  <c r="O941" i="34"/>
  <c r="O942" i="34"/>
  <c r="O943" i="34"/>
  <c r="O944" i="34"/>
  <c r="O945" i="34"/>
  <c r="O946" i="34"/>
  <c r="O947" i="34"/>
  <c r="O948" i="34"/>
  <c r="O949" i="34"/>
  <c r="O950" i="34"/>
  <c r="O951" i="34"/>
  <c r="O952" i="34"/>
  <c r="O953" i="34"/>
  <c r="O954" i="34"/>
  <c r="O955" i="34"/>
  <c r="O956" i="34"/>
  <c r="O957" i="34"/>
  <c r="O958" i="34"/>
  <c r="O959" i="34"/>
  <c r="O960" i="34"/>
  <c r="O961" i="34"/>
  <c r="O962" i="34"/>
  <c r="O963" i="34"/>
  <c r="O964" i="34"/>
  <c r="O965" i="34"/>
  <c r="O966" i="34"/>
  <c r="O967" i="34"/>
  <c r="O968" i="34"/>
  <c r="O969" i="34"/>
  <c r="O970" i="34"/>
  <c r="O971" i="34"/>
  <c r="O972" i="34"/>
  <c r="O973" i="34"/>
  <c r="O974" i="34"/>
  <c r="O975" i="34"/>
  <c r="O976" i="34"/>
  <c r="O977" i="34"/>
  <c r="O978" i="34"/>
  <c r="O979" i="34"/>
  <c r="O980" i="34"/>
  <c r="O981" i="34"/>
  <c r="O982" i="34"/>
  <c r="O983" i="34"/>
  <c r="O984" i="34"/>
  <c r="O985" i="34"/>
  <c r="O986" i="34"/>
  <c r="O987" i="34"/>
  <c r="O988" i="34"/>
  <c r="O989" i="34"/>
  <c r="O990" i="34"/>
  <c r="O991" i="34"/>
  <c r="O992" i="34"/>
  <c r="O993" i="34"/>
  <c r="O994" i="34"/>
  <c r="O995" i="34"/>
  <c r="O996" i="34"/>
  <c r="O997" i="34"/>
  <c r="O998" i="34"/>
  <c r="O999" i="34"/>
  <c r="O1000" i="34"/>
  <c r="O1001" i="34"/>
  <c r="O1002" i="34"/>
  <c r="O1003" i="34"/>
  <c r="O1004" i="34"/>
  <c r="O1005" i="34"/>
  <c r="O1006" i="34"/>
  <c r="O1007" i="34"/>
  <c r="O1008" i="34"/>
  <c r="O1009" i="34"/>
  <c r="O1010" i="34"/>
  <c r="O1011" i="34"/>
  <c r="O1012" i="34"/>
  <c r="O1013" i="34"/>
  <c r="O1014" i="34"/>
  <c r="O1015" i="34"/>
  <c r="O1016" i="34"/>
  <c r="O1017" i="34"/>
  <c r="O1018" i="34"/>
  <c r="O1019" i="34"/>
  <c r="O1020" i="34"/>
  <c r="O1021" i="34"/>
  <c r="O1022" i="34"/>
  <c r="O1023" i="34"/>
  <c r="O1024" i="34"/>
  <c r="O1025" i="34"/>
  <c r="O1026" i="34"/>
  <c r="O1027" i="34"/>
  <c r="O1028" i="34"/>
  <c r="O1029" i="34"/>
  <c r="O1030" i="34"/>
  <c r="O1031" i="34"/>
  <c r="O1032" i="34"/>
  <c r="O1033" i="34"/>
  <c r="O1034" i="34"/>
  <c r="O1035" i="34"/>
  <c r="O1036" i="34"/>
  <c r="O1037" i="34"/>
  <c r="O1038" i="34"/>
  <c r="O1039" i="34"/>
  <c r="O1040" i="34"/>
  <c r="O1041" i="34"/>
  <c r="O1042" i="34"/>
  <c r="O1043" i="34"/>
  <c r="O1044" i="34"/>
  <c r="O1045" i="34"/>
  <c r="O1046" i="34"/>
  <c r="O1047" i="34"/>
  <c r="O1048" i="34"/>
  <c r="O1049" i="34"/>
  <c r="O1050" i="34"/>
  <c r="O1051" i="34"/>
  <c r="O1052" i="34"/>
  <c r="O1053" i="34"/>
  <c r="O1054" i="34"/>
  <c r="O1055" i="34"/>
  <c r="O1056" i="34"/>
  <c r="O1057" i="34"/>
  <c r="O1058" i="34"/>
  <c r="O1059" i="34"/>
  <c r="O1060" i="34"/>
  <c r="O1061" i="34"/>
  <c r="O1062" i="34"/>
  <c r="O1063" i="34"/>
  <c r="O1064" i="34"/>
  <c r="O1065" i="34"/>
  <c r="O1066" i="34"/>
  <c r="O1067" i="34"/>
  <c r="O1068" i="34"/>
  <c r="O1069" i="34"/>
  <c r="O1070" i="34"/>
  <c r="O1071" i="34"/>
  <c r="O1072" i="34"/>
  <c r="O1073" i="34"/>
  <c r="O1074" i="34"/>
  <c r="O1075" i="34"/>
  <c r="O1076" i="34"/>
  <c r="O1077" i="34"/>
  <c r="O1078" i="34"/>
  <c r="O1079" i="34"/>
  <c r="O1080" i="34"/>
  <c r="O1081" i="34"/>
  <c r="O1082" i="34"/>
  <c r="O1083" i="34"/>
  <c r="O1084" i="34"/>
  <c r="O1085" i="34"/>
  <c r="O1086" i="34"/>
  <c r="O1087" i="34"/>
  <c r="O1088" i="34"/>
  <c r="O1089" i="34"/>
  <c r="O1090" i="34"/>
  <c r="O1091" i="34"/>
  <c r="O1092" i="34"/>
  <c r="O1093" i="34"/>
  <c r="O1094" i="34"/>
  <c r="O1095" i="34"/>
  <c r="O1096" i="34"/>
  <c r="O1097" i="34"/>
  <c r="O1098" i="34"/>
  <c r="O1099" i="34"/>
  <c r="O1100" i="34"/>
  <c r="O1101" i="34"/>
  <c r="O1102" i="34"/>
  <c r="O1103" i="34"/>
  <c r="O1104" i="34"/>
  <c r="O1105" i="34"/>
  <c r="O1106" i="34"/>
  <c r="O1107" i="34"/>
  <c r="O1108" i="34"/>
  <c r="O1109" i="34"/>
  <c r="O1110" i="34"/>
  <c r="O1111" i="34"/>
  <c r="O1112" i="34"/>
  <c r="O1113" i="34"/>
  <c r="O1114" i="34"/>
  <c r="O1115" i="34"/>
  <c r="O1116" i="34"/>
  <c r="O1117" i="34"/>
  <c r="O1118" i="34"/>
  <c r="O1119" i="34"/>
  <c r="O1120" i="34"/>
  <c r="O1121" i="34"/>
  <c r="O1122" i="34"/>
  <c r="O1123" i="34"/>
  <c r="O8" i="34"/>
  <c r="O6" i="34" l="1"/>
  <c r="Q6" i="34"/>
  <c r="P6" i="34"/>
  <c r="J41" i="3" l="1"/>
  <c r="J28" i="3"/>
  <c r="G48" i="8" l="1"/>
  <c r="O3" i="34" l="1"/>
  <c r="E47" i="31" l="1"/>
  <c r="J46" i="31" l="1"/>
  <c r="C11" i="21"/>
  <c r="E11" i="21"/>
  <c r="M14" i="3" l="1"/>
  <c r="E47" i="3" l="1"/>
  <c r="R6" i="34" l="1"/>
  <c r="C8" i="22"/>
  <c r="C34" i="22"/>
  <c r="J34" i="31" s="1"/>
  <c r="C22" i="22" l="1"/>
  <c r="C10" i="22"/>
  <c r="C30" i="22"/>
  <c r="C26" i="22"/>
  <c r="J8" i="31" s="1"/>
  <c r="C12" i="22"/>
  <c r="J17" i="31" s="1"/>
  <c r="C4" i="22"/>
  <c r="J13" i="31" s="1"/>
  <c r="C20" i="22"/>
  <c r="C36" i="22"/>
  <c r="J36" i="31" s="1"/>
  <c r="C14" i="22"/>
  <c r="C31" i="22"/>
  <c r="C11" i="22"/>
  <c r="C21" i="22"/>
  <c r="J37" i="31" s="1"/>
  <c r="C38" i="22"/>
  <c r="J41" i="31" s="1"/>
  <c r="C28" i="22"/>
  <c r="C18" i="22"/>
  <c r="J21" i="31" s="1"/>
  <c r="C6" i="22"/>
  <c r="C37" i="22"/>
  <c r="J44" i="31" s="1"/>
  <c r="C27" i="22"/>
  <c r="J28" i="31" s="1"/>
  <c r="C15" i="22"/>
  <c r="C5" i="22"/>
  <c r="C35" i="22"/>
  <c r="J35" i="31" s="1"/>
  <c r="C23" i="22"/>
  <c r="C13" i="22"/>
  <c r="C39" i="22"/>
  <c r="J45" i="31" s="1"/>
  <c r="C29" i="22"/>
  <c r="C19" i="22"/>
  <c r="J39" i="31" s="1"/>
  <c r="C7" i="22"/>
  <c r="J38" i="31" s="1"/>
  <c r="C41" i="22"/>
  <c r="J43" i="31" s="1"/>
  <c r="C33" i="22"/>
  <c r="J33" i="31" s="1"/>
  <c r="C25" i="22"/>
  <c r="J26" i="31" s="1"/>
  <c r="C17" i="22"/>
  <c r="C9" i="22"/>
  <c r="J15" i="31" s="1"/>
  <c r="C40" i="22"/>
  <c r="J42" i="31" s="1"/>
  <c r="C32" i="22"/>
  <c r="J40" i="31" s="1"/>
  <c r="C24" i="22"/>
  <c r="C16" i="22"/>
  <c r="M39" i="3" l="1"/>
  <c r="G37" i="4" l="1"/>
  <c r="G38" i="4"/>
  <c r="G39" i="4"/>
  <c r="G40" i="4"/>
  <c r="G36" i="4"/>
  <c r="H47" i="3"/>
  <c r="C6" i="21" s="1"/>
  <c r="K47" i="3"/>
  <c r="B47" i="3"/>
  <c r="J44" i="3"/>
  <c r="J12" i="3" l="1"/>
  <c r="F47" i="31" l="1"/>
  <c r="J19" i="31" l="1"/>
  <c r="J16" i="31" l="1"/>
  <c r="J14" i="31"/>
  <c r="J18" i="31"/>
  <c r="J12" i="31"/>
  <c r="J11" i="31"/>
  <c r="J27" i="31"/>
  <c r="J10" i="31"/>
  <c r="J23" i="31"/>
  <c r="J31" i="31"/>
  <c r="J24" i="31"/>
  <c r="J32" i="31"/>
  <c r="J22" i="31"/>
  <c r="J25" i="31"/>
  <c r="J29" i="31"/>
  <c r="J30" i="31"/>
  <c r="J9" i="31"/>
  <c r="J47" i="31" l="1"/>
  <c r="F7" i="21" l="1"/>
  <c r="F8" i="21" s="1"/>
  <c r="M10" i="3" l="1"/>
  <c r="M15" i="3"/>
  <c r="M17" i="3"/>
  <c r="M18" i="3"/>
  <c r="M20" i="3"/>
  <c r="M21" i="3"/>
  <c r="M22" i="3"/>
  <c r="M23" i="3"/>
  <c r="M24" i="3"/>
  <c r="M25" i="3"/>
  <c r="M26" i="3"/>
  <c r="M27" i="3"/>
  <c r="M29" i="3"/>
  <c r="M30" i="3"/>
  <c r="M32" i="3"/>
  <c r="M33" i="3"/>
  <c r="M35" i="3"/>
  <c r="M36" i="3"/>
  <c r="M37" i="3"/>
  <c r="M38" i="3"/>
  <c r="J38" i="3" l="1"/>
  <c r="J45" i="3"/>
  <c r="G47" i="3"/>
  <c r="G30" i="4" l="1"/>
  <c r="G29" i="4"/>
  <c r="G28" i="4"/>
  <c r="G27" i="4"/>
  <c r="G26" i="4"/>
  <c r="G25" i="4"/>
  <c r="J10" i="3" l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5" i="3"/>
  <c r="J36" i="3"/>
  <c r="J37" i="3"/>
  <c r="J39" i="3"/>
  <c r="J40" i="3"/>
  <c r="J42" i="3"/>
  <c r="J43" i="3"/>
  <c r="J46" i="3"/>
  <c r="H25" i="4"/>
  <c r="H26" i="4"/>
  <c r="H27" i="4"/>
  <c r="H28" i="4"/>
  <c r="H29" i="4"/>
  <c r="H30" i="4"/>
  <c r="H36" i="4"/>
  <c r="H37" i="4"/>
  <c r="H38" i="4"/>
  <c r="H39" i="4"/>
  <c r="H40" i="4"/>
  <c r="I25" i="4"/>
  <c r="I26" i="4"/>
  <c r="I27" i="4"/>
  <c r="I28" i="4"/>
  <c r="I29" i="4"/>
  <c r="I30" i="4"/>
  <c r="I36" i="4"/>
  <c r="I37" i="4"/>
  <c r="I38" i="4"/>
  <c r="I39" i="4"/>
  <c r="I40" i="4"/>
  <c r="I41" i="4"/>
  <c r="F47" i="4"/>
  <c r="G47" i="4" s="1"/>
  <c r="F48" i="4"/>
  <c r="G48" i="4" s="1"/>
  <c r="F49" i="4"/>
  <c r="G49" i="4" s="1"/>
  <c r="F50" i="4"/>
  <c r="G50" i="4" s="1"/>
  <c r="F51" i="4"/>
  <c r="H51" i="4" s="1"/>
  <c r="F52" i="4"/>
  <c r="H52" i="4" s="1"/>
  <c r="B18" i="4"/>
  <c r="B59" i="4" s="1"/>
  <c r="B19" i="4"/>
  <c r="B60" i="4" s="1"/>
  <c r="F43" i="4"/>
  <c r="E43" i="4"/>
  <c r="F42" i="4"/>
  <c r="E42" i="4"/>
  <c r="F32" i="4"/>
  <c r="E32" i="4"/>
  <c r="D32" i="4"/>
  <c r="C32" i="4"/>
  <c r="B32" i="4"/>
  <c r="F31" i="4"/>
  <c r="E31" i="4"/>
  <c r="D31" i="4"/>
  <c r="C31" i="4"/>
  <c r="B31" i="4"/>
  <c r="H43" i="8"/>
  <c r="C29" i="8"/>
  <c r="H38" i="8"/>
  <c r="H44" i="8" s="1"/>
  <c r="C59" i="4" l="1"/>
  <c r="C60" i="4" s="1"/>
  <c r="I38" i="8" s="1"/>
  <c r="G43" i="8"/>
  <c r="G52" i="4"/>
  <c r="C12" i="21"/>
  <c r="C16" i="21" s="1"/>
  <c r="H47" i="4"/>
  <c r="H50" i="4"/>
  <c r="G32" i="4"/>
  <c r="G42" i="4"/>
  <c r="I44" i="8"/>
  <c r="G44" i="8"/>
  <c r="G38" i="8" s="1"/>
  <c r="G43" i="4"/>
  <c r="G51" i="4"/>
  <c r="I42" i="4"/>
  <c r="H31" i="4"/>
  <c r="H48" i="4"/>
  <c r="H42" i="4"/>
  <c r="I31" i="4"/>
  <c r="G31" i="4"/>
  <c r="I43" i="8"/>
  <c r="H49" i="4"/>
  <c r="I37" i="8" l="1"/>
  <c r="B35" i="4"/>
  <c r="C35" i="4" s="1"/>
  <c r="D30" i="21" s="1"/>
  <c r="B34" i="4"/>
  <c r="J31" i="4"/>
  <c r="G53" i="4"/>
  <c r="H53" i="4"/>
  <c r="J42" i="4"/>
  <c r="G37" i="8"/>
  <c r="J44" i="4" l="1"/>
  <c r="K44" i="4" s="1"/>
  <c r="F13" i="21"/>
  <c r="F14" i="21" s="1"/>
  <c r="C30" i="21"/>
  <c r="I53" i="4"/>
  <c r="D35" i="4"/>
  <c r="C34" i="4"/>
  <c r="B36" i="4"/>
  <c r="D34" i="4"/>
  <c r="C29" i="21"/>
  <c r="B16" i="4" l="1"/>
  <c r="C31" i="21"/>
  <c r="D36" i="4"/>
  <c r="D29" i="21"/>
  <c r="F9" i="21" s="1"/>
  <c r="C36" i="4"/>
  <c r="F16" i="21" l="1"/>
  <c r="F19" i="21" s="1"/>
  <c r="F17" i="21"/>
  <c r="F20" i="21" s="1"/>
  <c r="B44" i="4"/>
  <c r="B43" i="4"/>
  <c r="C39" i="21" s="1"/>
  <c r="D31" i="21"/>
  <c r="C40" i="21" l="1"/>
  <c r="C41" i="21" l="1"/>
  <c r="J9" i="3" l="1"/>
  <c r="M9" i="3"/>
  <c r="O4" i="34" l="1"/>
  <c r="P4" i="34" s="1"/>
  <c r="I47" i="3" l="1"/>
  <c r="F47" i="3" l="1"/>
  <c r="D47" i="3"/>
  <c r="J34" i="3" l="1"/>
  <c r="M31" i="3" l="1"/>
  <c r="L47" i="3"/>
  <c r="C5" i="21" s="1"/>
  <c r="C7" i="21" l="1"/>
  <c r="C15" i="21" s="1"/>
  <c r="C17" i="21" l="1"/>
  <c r="C18" i="21" s="1"/>
  <c r="C21" i="21" s="1"/>
  <c r="C22" i="21" s="1"/>
  <c r="C23" i="21" l="1"/>
  <c r="C24" i="21" s="1"/>
  <c r="C25" i="21" l="1"/>
  <c r="J13" i="3" l="1"/>
  <c r="J47" i="3" s="1"/>
  <c r="J49" i="3" s="1"/>
  <c r="C47" i="3"/>
  <c r="M13" i="3"/>
  <c r="B15" i="4" l="1"/>
  <c r="B40" i="4" l="1"/>
  <c r="C35" i="21" s="1"/>
  <c r="C45" i="21" s="1"/>
  <c r="C50" i="21" s="1"/>
  <c r="B39" i="4"/>
  <c r="C34" i="21" s="1"/>
  <c r="C44" i="21" s="1"/>
  <c r="C49" i="21" s="1"/>
  <c r="B55" i="4" l="1"/>
  <c r="C55" i="4" s="1"/>
  <c r="B48" i="4"/>
  <c r="B52" i="4" s="1"/>
  <c r="C52" i="4" s="1"/>
  <c r="B56" i="4"/>
  <c r="C56" i="4" s="1"/>
  <c r="B47" i="4"/>
  <c r="B51" i="4" l="1"/>
  <c r="C51" i="4" s="1"/>
  <c r="F37" i="8" s="1"/>
  <c r="C36" i="21"/>
  <c r="C46" i="21" s="1"/>
  <c r="F38" i="8"/>
  <c r="J38" i="8" s="1"/>
  <c r="L38" i="8" s="1"/>
  <c r="B64" i="4"/>
  <c r="D64" i="4" l="1"/>
  <c r="B63" i="4"/>
  <c r="D63" i="4" s="1"/>
  <c r="J37" i="8"/>
  <c r="L37" i="8" s="1"/>
  <c r="F43" i="8"/>
  <c r="G7" i="31" s="1"/>
  <c r="G39" i="31" s="1"/>
  <c r="F44" i="8"/>
  <c r="H7" i="31" s="1"/>
  <c r="H27" i="31" s="1"/>
  <c r="J43" i="8" l="1"/>
  <c r="L43" i="8" s="1"/>
  <c r="G43" i="31"/>
  <c r="G20" i="31"/>
  <c r="G16" i="31"/>
  <c r="G31" i="31"/>
  <c r="G27" i="31"/>
  <c r="G38" i="31"/>
  <c r="G19" i="31"/>
  <c r="G35" i="31"/>
  <c r="G14" i="31"/>
  <c r="G10" i="31"/>
  <c r="G9" i="31"/>
  <c r="G42" i="31"/>
  <c r="G34" i="31"/>
  <c r="G45" i="31"/>
  <c r="G23" i="31"/>
  <c r="G41" i="31"/>
  <c r="G22" i="31"/>
  <c r="G44" i="31"/>
  <c r="G12" i="31"/>
  <c r="G25" i="31"/>
  <c r="G36" i="31"/>
  <c r="G24" i="31"/>
  <c r="G21" i="31"/>
  <c r="G32" i="31"/>
  <c r="G28" i="31"/>
  <c r="G15" i="31"/>
  <c r="G17" i="31"/>
  <c r="G37" i="31"/>
  <c r="G30" i="31"/>
  <c r="G46" i="31"/>
  <c r="G26" i="31"/>
  <c r="G13" i="31"/>
  <c r="G33" i="31"/>
  <c r="G29" i="31"/>
  <c r="G8" i="31"/>
  <c r="G18" i="31"/>
  <c r="G11" i="31"/>
  <c r="G40" i="31"/>
  <c r="H44" i="31"/>
  <c r="H11" i="31"/>
  <c r="H17" i="31"/>
  <c r="H29" i="31"/>
  <c r="H36" i="31"/>
  <c r="H40" i="31"/>
  <c r="H26" i="31"/>
  <c r="J44" i="8"/>
  <c r="L44" i="8" s="1"/>
  <c r="H13" i="31"/>
  <c r="H32" i="31"/>
  <c r="H9" i="31"/>
  <c r="H28" i="31"/>
  <c r="H43" i="31"/>
  <c r="H12" i="31"/>
  <c r="H18" i="31"/>
  <c r="H34" i="31"/>
  <c r="H42" i="31"/>
  <c r="H39" i="31"/>
  <c r="H19" i="31"/>
  <c r="H33" i="31"/>
  <c r="H21" i="31"/>
  <c r="H37" i="31"/>
  <c r="H16" i="31"/>
  <c r="H8" i="31"/>
  <c r="H46" i="31"/>
  <c r="H38" i="31"/>
  <c r="H35" i="31"/>
  <c r="H25" i="31"/>
  <c r="H45" i="31"/>
  <c r="H15" i="31"/>
  <c r="H24" i="31"/>
  <c r="H10" i="31"/>
  <c r="H22" i="31"/>
  <c r="H23" i="31"/>
  <c r="H14" i="31"/>
  <c r="H30" i="31"/>
  <c r="H41" i="31"/>
  <c r="H31" i="31"/>
  <c r="I45" i="31" l="1"/>
  <c r="K45" i="31" s="1"/>
  <c r="G47" i="31"/>
  <c r="I42" i="31"/>
  <c r="K42" i="31" s="1"/>
  <c r="I20" i="31"/>
  <c r="K20" i="31" s="1"/>
  <c r="I11" i="31"/>
  <c r="K11" i="31" s="1"/>
  <c r="L45" i="31" l="1"/>
  <c r="M45" i="31" s="1"/>
  <c r="L20" i="31"/>
  <c r="M20" i="31" s="1"/>
  <c r="L42" i="31"/>
  <c r="M42" i="31" s="1"/>
  <c r="L11" i="31"/>
  <c r="M11" i="31" s="1"/>
  <c r="I24" i="31"/>
  <c r="K24" i="31" s="1"/>
  <c r="I38" i="31"/>
  <c r="K38" i="31" s="1"/>
  <c r="I26" i="31"/>
  <c r="K26" i="31" s="1"/>
  <c r="I12" i="31"/>
  <c r="K12" i="31" s="1"/>
  <c r="I40" i="31"/>
  <c r="K40" i="31" s="1"/>
  <c r="I9" i="31"/>
  <c r="K9" i="31" s="1"/>
  <c r="I34" i="31"/>
  <c r="K34" i="31" s="1"/>
  <c r="I13" i="31"/>
  <c r="K13" i="31" s="1"/>
  <c r="I43" i="31"/>
  <c r="K43" i="31" s="1"/>
  <c r="I25" i="31"/>
  <c r="K25" i="31" s="1"/>
  <c r="I10" i="31"/>
  <c r="K10" i="31" s="1"/>
  <c r="I16" i="31"/>
  <c r="K16" i="31" s="1"/>
  <c r="I21" i="31"/>
  <c r="K21" i="31" s="1"/>
  <c r="I46" i="31"/>
  <c r="K46" i="31" s="1"/>
  <c r="I28" i="31"/>
  <c r="K28" i="31" s="1"/>
  <c r="I22" i="31"/>
  <c r="K22" i="31" s="1"/>
  <c r="I41" i="31"/>
  <c r="K41" i="31" s="1"/>
  <c r="I18" i="31"/>
  <c r="K18" i="31" s="1"/>
  <c r="I15" i="31"/>
  <c r="K15" i="31" s="1"/>
  <c r="I19" i="31"/>
  <c r="K19" i="31" s="1"/>
  <c r="I14" i="31"/>
  <c r="K14" i="31" s="1"/>
  <c r="I8" i="31"/>
  <c r="K8" i="31" s="1"/>
  <c r="I29" i="31"/>
  <c r="K29" i="31" s="1"/>
  <c r="I37" i="31"/>
  <c r="K37" i="31" s="1"/>
  <c r="I33" i="31"/>
  <c r="K33" i="31" s="1"/>
  <c r="I35" i="31"/>
  <c r="K35" i="31" s="1"/>
  <c r="H47" i="31"/>
  <c r="I31" i="31"/>
  <c r="K31" i="31" s="1"/>
  <c r="I44" i="31"/>
  <c r="K44" i="31" s="1"/>
  <c r="I39" i="31"/>
  <c r="K39" i="31" s="1"/>
  <c r="I32" i="31"/>
  <c r="K32" i="31" s="1"/>
  <c r="I30" i="31"/>
  <c r="K30" i="31" s="1"/>
  <c r="I17" i="31"/>
  <c r="K17" i="31" s="1"/>
  <c r="I23" i="31"/>
  <c r="K23" i="31" s="1"/>
  <c r="I36" i="31"/>
  <c r="K36" i="31" s="1"/>
  <c r="I27" i="31"/>
  <c r="K27" i="31" s="1"/>
  <c r="K47" i="31" l="1"/>
  <c r="L9" i="31"/>
  <c r="M9" i="31" s="1"/>
  <c r="L8" i="31"/>
  <c r="M8" i="31" s="1"/>
  <c r="L28" i="31"/>
  <c r="M28" i="31" s="1"/>
  <c r="L38" i="31"/>
  <c r="M38" i="31" s="1"/>
  <c r="L13" i="31"/>
  <c r="M13" i="31" s="1"/>
  <c r="L24" i="31"/>
  <c r="M24" i="31" s="1"/>
  <c r="L25" i="31"/>
  <c r="M25" i="31" s="1"/>
  <c r="L37" i="31"/>
  <c r="M37" i="31" s="1"/>
  <c r="L32" i="31"/>
  <c r="M32" i="31" s="1"/>
  <c r="L44" i="31"/>
  <c r="M44" i="31" s="1"/>
  <c r="L31" i="31"/>
  <c r="M31" i="31" s="1"/>
  <c r="L26" i="31"/>
  <c r="M26" i="31" s="1"/>
  <c r="L19" i="31"/>
  <c r="M19" i="31" s="1"/>
  <c r="L34" i="31"/>
  <c r="M34" i="31" s="1"/>
  <c r="L15" i="31"/>
  <c r="M15" i="31" s="1"/>
  <c r="L35" i="31"/>
  <c r="M35" i="31" s="1"/>
  <c r="L18" i="31"/>
  <c r="M18" i="31" s="1"/>
  <c r="L16" i="31"/>
  <c r="M16" i="31" s="1"/>
  <c r="L40" i="31"/>
  <c r="M40" i="31" s="1"/>
  <c r="L30" i="31"/>
  <c r="M30" i="31" s="1"/>
  <c r="L22" i="31"/>
  <c r="M22" i="31" s="1"/>
  <c r="L29" i="31"/>
  <c r="M29" i="31" s="1"/>
  <c r="L39" i="31"/>
  <c r="M39" i="31" s="1"/>
  <c r="L43" i="31"/>
  <c r="M43" i="31" s="1"/>
  <c r="L14" i="31"/>
  <c r="M14" i="31" s="1"/>
  <c r="L27" i="31"/>
  <c r="M27" i="31" s="1"/>
  <c r="L46" i="31"/>
  <c r="M46" i="31" s="1"/>
  <c r="L36" i="31"/>
  <c r="M36" i="31" s="1"/>
  <c r="L21" i="31"/>
  <c r="M21" i="31" s="1"/>
  <c r="L23" i="31"/>
  <c r="M23" i="31" s="1"/>
  <c r="L17" i="31"/>
  <c r="M17" i="31" s="1"/>
  <c r="L33" i="31"/>
  <c r="M33" i="31" s="1"/>
  <c r="L41" i="31"/>
  <c r="M41" i="31" s="1"/>
  <c r="L10" i="31"/>
  <c r="L12" i="31"/>
  <c r="M12" i="31" s="1"/>
  <c r="I47" i="31"/>
  <c r="L47" i="31" l="1"/>
  <c r="M10" i="31"/>
  <c r="M47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ingere</author>
  </authors>
  <commentList>
    <comment ref="C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Jf arkfane "Pensjon" sortert kun lønnsposter uten pensjon og aga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ingere</author>
    <author>Inger Marie Engelskjønn</author>
    <author>Inger Engelskjønn</author>
    <author>Morten Tangestuen</author>
  </authors>
  <commentList>
    <comment ref="D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ingere:</t>
        </r>
        <r>
          <rPr>
            <sz val="9"/>
            <color indexed="81"/>
            <rFont val="Tahoma"/>
            <family val="2"/>
          </rPr>
          <t xml:space="preserve">
Eks avskrivinger (kapitalkostnad)</t>
        </r>
      </text>
    </comment>
    <comment ref="E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= Sum kode K, L og U
</t>
        </r>
      </text>
    </comment>
    <comment ref="L6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Inger Engelskjønn:</t>
        </r>
        <r>
          <rPr>
            <sz val="9"/>
            <color indexed="81"/>
            <rFont val="Tahoma"/>
            <family val="2"/>
          </rPr>
          <t xml:space="preserve">
Gjelder refusjoner fra staten, bruk av disp.fond, lønnstillskudd, ref Nav og høgskolen</t>
        </r>
      </text>
    </comment>
    <comment ref="B7" authorId="3" shapeId="0" xr:uid="{487D6618-61C8-4A86-B68E-C4F418CBDF06}">
      <text>
        <r>
          <rPr>
            <b/>
            <sz val="9"/>
            <color indexed="81"/>
            <rFont val="Tahoma"/>
            <charset val="1"/>
          </rPr>
          <t>Morten Tangestuen:</t>
        </r>
        <r>
          <rPr>
            <sz val="9"/>
            <color indexed="81"/>
            <rFont val="Tahoma"/>
            <charset val="1"/>
          </rPr>
          <t xml:space="preserve">
13. lønnskjøring ble lagt sentralt for alle</t>
        </r>
      </text>
    </comment>
    <comment ref="C9" authorId="1" shapeId="0" xr:uid="{CE89DED4-D266-4B79-8F83-110165D1836A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Prosjekt 1639 Opplæring i tegnspråk</t>
        </r>
      </text>
    </comment>
    <comment ref="B13" authorId="3" shapeId="0" xr:uid="{D88F9C7E-A87D-4AA9-AFB6-F42B81569BF9}">
      <text>
        <r>
          <rPr>
            <b/>
            <sz val="9"/>
            <color indexed="81"/>
            <rFont val="Tahoma"/>
            <charset val="1"/>
          </rPr>
          <t>Morten Tangestuen:</t>
        </r>
        <r>
          <rPr>
            <sz val="9"/>
            <color indexed="81"/>
            <rFont val="Tahoma"/>
            <charset val="1"/>
          </rPr>
          <t xml:space="preserve">
Lærlinger er tatt med begge veier - riktig</t>
        </r>
      </text>
    </comment>
    <comment ref="F38" authorId="1" shapeId="0" xr:uid="{8CE74307-9FC4-42AE-9915-BF45200F3DF0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Trekker ut pensjons-
påslag inkl aga på honnorar fellestiltak private &amp; kommunale</t>
        </r>
      </text>
    </comment>
    <comment ref="B41" authorId="1" shapeId="0" xr:uid="{E6596E36-F879-4EAF-9270-FC87408DF04D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eksl
 mva komp
</t>
        </r>
      </text>
    </comment>
    <comment ref="E41" authorId="1" shapeId="0" xr:uid="{F6850087-64CE-4722-983B-B01C6772F9B0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Lærlinger 4 721.109
</t>
        </r>
      </text>
    </comment>
    <comment ref="C42" authorId="1" shapeId="0" xr:uid="{4364FC88-8D67-47EC-913A-861058E36291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Gjelder funkhem, korrigert med feil ansvar</t>
        </r>
      </text>
    </comment>
    <comment ref="F44" authorId="1" shapeId="0" xr:uid="{D368C719-4AAF-4E73-94D9-F445351DAB0E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Forsikring bygg F-121 kr 233884, Andel vaktmester Åpen bhg kr 26597
Feilføring funksjon 52185</t>
        </r>
      </text>
    </comment>
    <comment ref="D46" authorId="1" shapeId="0" xr:uid="{D69153CE-7D90-4876-B983-43ABD2DFC27B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Herav renhold 6.169.017</t>
        </r>
      </text>
    </comment>
    <comment ref="F46" authorId="1" shapeId="0" xr:uid="{98F3D850-832A-4BB9-A8A1-F08FE9E77071}">
      <text>
        <r>
          <rPr>
            <b/>
            <sz val="9"/>
            <color indexed="81"/>
            <rFont val="Tahoma"/>
            <charset val="1"/>
          </rPr>
          <t>Inger Marie Engelskjønn:</t>
        </r>
        <r>
          <rPr>
            <sz val="9"/>
            <color indexed="81"/>
            <rFont val="Tahoma"/>
            <charset val="1"/>
          </rPr>
          <t xml:space="preserve">
Funksjonsfordelt på F-130, og ikke F-221 kr 188998
Feilførung funksjon 221 kr 241571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 Marie Engelskjønn</author>
  </authors>
  <commentList>
    <comment ref="D3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Cellene D34 og D35 er kun bruk til simulering og har ingen betydning for beregnigen av satsene. Det er antall hele plasser i cellene C34 og C35 som er med videre.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Inger Engelskjønn</author>
    <author>Inger Marie Engelskjønn</author>
  </authors>
  <commentList>
    <comment ref="F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Inger Engelskjønn:</t>
        </r>
        <r>
          <rPr>
            <sz val="8"/>
            <color indexed="81"/>
            <rFont val="Tahoma"/>
            <family val="2"/>
          </rPr>
          <t xml:space="preserve">
Kontrolleres mot tilbakemelding årsmelding Basil.</t>
        </r>
      </text>
    </comment>
    <comment ref="F17" authorId="1" shapeId="0" xr:uid="{7D3B1BFF-E868-4B8C-9CFC-A3F0538A87D8}">
      <text>
        <r>
          <rPr>
            <b/>
            <sz val="9"/>
            <color indexed="81"/>
            <rFont val="Tahoma"/>
            <family val="2"/>
          </rPr>
          <t>Inger Marie Engelskjønn:</t>
        </r>
        <r>
          <rPr>
            <sz val="9"/>
            <color indexed="81"/>
            <rFont val="Tahoma"/>
            <family val="2"/>
          </rPr>
          <t xml:space="preserve">
39x5,3+73*4=499
Godkjent areal 497</t>
        </r>
      </text>
    </comment>
  </commentList>
</comments>
</file>

<file path=xl/sharedStrings.xml><?xml version="1.0" encoding="utf-8"?>
<sst xmlns="http://schemas.openxmlformats.org/spreadsheetml/2006/main" count="10169" uniqueCount="460">
  <si>
    <t>Totalt</t>
  </si>
  <si>
    <t>232000 - Kommunale barnehager felles</t>
  </si>
  <si>
    <t>Sum</t>
  </si>
  <si>
    <t>Steg 2</t>
  </si>
  <si>
    <t>Steg 3</t>
  </si>
  <si>
    <t>Steg 5</t>
  </si>
  <si>
    <t>Steg 6</t>
  </si>
  <si>
    <t>0-8 timer</t>
  </si>
  <si>
    <t>9-16 timer</t>
  </si>
  <si>
    <t>17-24 timer</t>
  </si>
  <si>
    <t>25-32 timer</t>
  </si>
  <si>
    <t>33-40 timer</t>
  </si>
  <si>
    <t>41 timer eller mer</t>
  </si>
  <si>
    <t>Oppholdstid</t>
  </si>
  <si>
    <t xml:space="preserve">Sum </t>
  </si>
  <si>
    <t>Ant.barn</t>
  </si>
  <si>
    <t xml:space="preserve">0-8 timer per uke </t>
  </si>
  <si>
    <t xml:space="preserve">9-16 timer per uke </t>
  </si>
  <si>
    <t xml:space="preserve">17-24 timer per uke </t>
  </si>
  <si>
    <t xml:space="preserve">25-32 timer per uke </t>
  </si>
  <si>
    <t xml:space="preserve">33-40 timer per uke </t>
  </si>
  <si>
    <t>Antall uker pr år</t>
  </si>
  <si>
    <t>Antall oppholdstimer pr år</t>
  </si>
  <si>
    <t>0-2 år</t>
  </si>
  <si>
    <t>3-6 år</t>
  </si>
  <si>
    <t>Sum antall timer</t>
  </si>
  <si>
    <t>Heltidsplasser</t>
  </si>
  <si>
    <t>Fordeling av kostnader, små og store barn</t>
  </si>
  <si>
    <t>Driftskostnader, barn 0-2 år</t>
  </si>
  <si>
    <t>Faktor små barn</t>
  </si>
  <si>
    <t>Driftskostnader, barn 3-6 år</t>
  </si>
  <si>
    <t>Fordeling av foreldrebetaling på små og store barn:</t>
  </si>
  <si>
    <t>Foreldrebetaling, barn 0-2 år</t>
  </si>
  <si>
    <t>Offentlig finansiering (Driftskostnader-foreldrebetaling):</t>
  </si>
  <si>
    <t>Offentlig finansiering, barn 0-2 år</t>
  </si>
  <si>
    <t>Offentlig finansiering, barn 3-6 år</t>
  </si>
  <si>
    <t>Foreldrebetaling, barn 3-6 år</t>
  </si>
  <si>
    <t>Fellesadministrative kostnader</t>
  </si>
  <si>
    <t>Tilskuddssats drift, barn 0-2 år</t>
  </si>
  <si>
    <t>Tilksuddssats drift, barn 3-6 år</t>
  </si>
  <si>
    <t>Pr heltidsplass</t>
  </si>
  <si>
    <t>Pr oppholdstime</t>
  </si>
  <si>
    <t xml:space="preserve">Steg 1  </t>
  </si>
  <si>
    <t>Nasjonale tilskuddssatser, kapital</t>
  </si>
  <si>
    <t>Sandefjord</t>
  </si>
  <si>
    <t>Avvik</t>
  </si>
  <si>
    <t>Brutto kostnader i beregningsgr.laget</t>
  </si>
  <si>
    <t>Steg 7</t>
  </si>
  <si>
    <t>Steg 8</t>
  </si>
  <si>
    <t>Steg 9</t>
  </si>
  <si>
    <t>Forskrift om likev.beh</t>
  </si>
  <si>
    <t>Kilde:</t>
  </si>
  <si>
    <t>Kategori</t>
  </si>
  <si>
    <t>Gj.snitt</t>
  </si>
  <si>
    <t>Faktorer for beregning av tilskuddssatser, private barnehager</t>
  </si>
  <si>
    <t>Beregning av tilskuddsatser, Sandefjord kommune</t>
  </si>
  <si>
    <t>Antall heltidsplasser 0-2 år</t>
  </si>
  <si>
    <t>Antall heltidsplasser 3-6 år</t>
  </si>
  <si>
    <t>Tilskuddssats kapital, barn 0-2 år</t>
  </si>
  <si>
    <t>Tilksuddssats kapital, barn 3-6 år</t>
  </si>
  <si>
    <t>Sjekkes hvert år mot ev. endringer i forskrift</t>
  </si>
  <si>
    <t>Navn på barnehagen</t>
  </si>
  <si>
    <t xml:space="preserve">Dato </t>
  </si>
  <si>
    <t>Filnavn:</t>
  </si>
  <si>
    <t>Ranvik barnehage</t>
  </si>
  <si>
    <t>Ringkollen barnehage</t>
  </si>
  <si>
    <t>Svartås barnehage</t>
  </si>
  <si>
    <t>Haukerød barnehage</t>
  </si>
  <si>
    <t>Trudvang barnehage</t>
  </si>
  <si>
    <t>Krokemoa barnehage</t>
  </si>
  <si>
    <t>Vardenlia barnehage</t>
  </si>
  <si>
    <t>Åsane barnehage</t>
  </si>
  <si>
    <t>Kapteinløkka barnehage</t>
  </si>
  <si>
    <t>Bugården barnehage</t>
  </si>
  <si>
    <t>Modalen barnehage</t>
  </si>
  <si>
    <t>Input, kommunale barnehager</t>
  </si>
  <si>
    <t>Beregning, kommunalt tilskudd</t>
  </si>
  <si>
    <t>Ansvar</t>
  </si>
  <si>
    <t>Forskrift om likev.beh
Sjekkes hvert år mot ev. endringer i forskrift</t>
  </si>
  <si>
    <t>På utsiden av beregningsgrunnlaget 201 og 221</t>
  </si>
  <si>
    <t>Antall timer</t>
  </si>
  <si>
    <t>Beregnede tilskuddssatser</t>
  </si>
  <si>
    <t>Drift og adm</t>
  </si>
  <si>
    <t>Beregnet</t>
  </si>
  <si>
    <t>Nasjonal</t>
  </si>
  <si>
    <t>Kapital</t>
  </si>
  <si>
    <t>Samlet sats for Sandefjord</t>
  </si>
  <si>
    <t>Avvik fra samlet nasjonal sats</t>
  </si>
  <si>
    <t>Barn med spesielle behov f-211</t>
  </si>
  <si>
    <t xml:space="preserve">Steg 4 </t>
  </si>
  <si>
    <t>Sats pr time</t>
  </si>
  <si>
    <t>Sats pr heltidsplass</t>
  </si>
  <si>
    <t>Samlet sats for Sandefjord*</t>
  </si>
  <si>
    <t>* Brukt nasjonal sats for kapitaltilskuddet</t>
  </si>
  <si>
    <t>Tilksuddssats administrasjon, barn 3-6 år</t>
  </si>
  <si>
    <t>Tilskuddssats administrasjon, barn 0-2 år</t>
  </si>
  <si>
    <t xml:space="preserve">Off.finansiering pr heltidsplasser, eksl. adm.tillegg </t>
  </si>
  <si>
    <t>Avkortning pga areal og bemanning</t>
  </si>
  <si>
    <t>Foreldrebetaling:</t>
  </si>
  <si>
    <t>Kr</t>
  </si>
  <si>
    <t>Hele regnskapet, netto driftsutgifter, funksjon 211</t>
  </si>
  <si>
    <t>Regnskap</t>
  </si>
  <si>
    <t>Deflator</t>
  </si>
  <si>
    <t>Uttrekk pensjon inkl. AGA f201 og 221</t>
  </si>
  <si>
    <t>Steg 11</t>
  </si>
  <si>
    <t>Pensjonspremie, SkP (arbeidsgivers andel)</t>
  </si>
  <si>
    <t>Arbeidsgiveravgift</t>
  </si>
  <si>
    <t>Fordel naturalytelser</t>
  </si>
  <si>
    <t>Lønn i faste stillinger</t>
  </si>
  <si>
    <t>Vikarer i vakanser</t>
  </si>
  <si>
    <t>Sykevikarer</t>
  </si>
  <si>
    <t>Diverse andre tillegg, faste stillinger</t>
  </si>
  <si>
    <t>Vikarer ved lønnet permisjon</t>
  </si>
  <si>
    <t>Lønn til ekstrahjelp</t>
  </si>
  <si>
    <t>Overtidslønn</t>
  </si>
  <si>
    <t>Andre trekkpliktige godtgjørelser</t>
  </si>
  <si>
    <t>Ferievikarer</t>
  </si>
  <si>
    <t>Kvelds- og nattillegg, vikarer</t>
  </si>
  <si>
    <t>Kvelds- og nattillegg, ekstrahjelp</t>
  </si>
  <si>
    <t>Engasjementer</t>
  </si>
  <si>
    <t>Uttrekk pensjon</t>
  </si>
  <si>
    <t>Barnehage</t>
  </si>
  <si>
    <t>Byggeår</t>
  </si>
  <si>
    <t>Kapital-tilskudd</t>
  </si>
  <si>
    <t>Forskjøvet arbeidstid</t>
  </si>
  <si>
    <t>Kontroll</t>
  </si>
  <si>
    <t>Avstemming etter Udir sitt "Regneeksempel - tilskudd til private barnehager 2016" publisert 09.11.2015</t>
  </si>
  <si>
    <t>minus pensjon og arbeidsgiveravgift på pensjonen</t>
  </si>
  <si>
    <t>Gjennomsitt</t>
  </si>
  <si>
    <t>Grunnlag pensjonspåslag</t>
  </si>
  <si>
    <t xml:space="preserve"> + arbeidsgiveravgift 14,1%</t>
  </si>
  <si>
    <t xml:space="preserve"> = Pensjonspåslag inkl arbeidsgiveravgift</t>
  </si>
  <si>
    <t>Administrasjonspåslag blir da:</t>
  </si>
  <si>
    <t>Andel pensjon for små barn</t>
  </si>
  <si>
    <t>Andel pensjon for store barn</t>
  </si>
  <si>
    <t xml:space="preserve"> + pensjonspåslag inkl arbeidsgiveravgift</t>
  </si>
  <si>
    <t xml:space="preserve"> = Grunnlag administrasjonspåslag</t>
  </si>
  <si>
    <t>Pensjonsandel av tilskuddssats små barn</t>
  </si>
  <si>
    <t>Administrasjonspåslag 4,3%</t>
  </si>
  <si>
    <t>Pensjonsandel av tilskuddssats store barn</t>
  </si>
  <si>
    <t>Deflatorjustering</t>
  </si>
  <si>
    <t>Driftsutgifter inkl adm.påslag fordelt på alder</t>
  </si>
  <si>
    <t>Total</t>
  </si>
  <si>
    <t>Kommunal finansiering (Driftskostnader-foreldrebetaling):</t>
  </si>
  <si>
    <t>Kommunal finansiering, barn 0-2 år</t>
  </si>
  <si>
    <t>Kommunal finansiering, barn 3-6 år</t>
  </si>
  <si>
    <t>Sum kommunal finansiering</t>
  </si>
  <si>
    <t>Sats</t>
  </si>
  <si>
    <t>Type</t>
  </si>
  <si>
    <t>1 lønn</t>
  </si>
  <si>
    <t>Lønn til vikarer</t>
  </si>
  <si>
    <t>SkP funksjonsford. premie</t>
  </si>
  <si>
    <t>Honorar</t>
  </si>
  <si>
    <t>Påsalg administrasjonskostander 4,3% av brutto driftsutgifter</t>
  </si>
  <si>
    <t>Ansvar (T)</t>
  </si>
  <si>
    <t>A</t>
  </si>
  <si>
    <t>Helge- og høytidstillegg, faste stillinger</t>
  </si>
  <si>
    <t>Kontofordelte utg F 190 park og idrett</t>
  </si>
  <si>
    <t>Lønn vedlikehold/nybygg og nyanlegg</t>
  </si>
  <si>
    <t>Lønn renhold</t>
  </si>
  <si>
    <t>Smiehavna Gårdsbarnehage</t>
  </si>
  <si>
    <t xml:space="preserve">Gjennestad barnehage </t>
  </si>
  <si>
    <t xml:space="preserve">Olaløkka barnehage </t>
  </si>
  <si>
    <t>Små barn</t>
  </si>
  <si>
    <t>Store barn</t>
  </si>
  <si>
    <t>Sats per plass</t>
  </si>
  <si>
    <t>Sum (uten åpen)</t>
  </si>
  <si>
    <t>Barnas hus barnehage</t>
  </si>
  <si>
    <t>Elverhøy barnehage</t>
  </si>
  <si>
    <t>Feen barnehage</t>
  </si>
  <si>
    <t>Frydenberg barnehage</t>
  </si>
  <si>
    <t>Gravdal barnehage</t>
  </si>
  <si>
    <t>Høyjord barnehage</t>
  </si>
  <si>
    <t>Kodal barnehage</t>
  </si>
  <si>
    <t>Møyland barnehage</t>
  </si>
  <si>
    <t>Trekanten barnehage</t>
  </si>
  <si>
    <t>Tuften barnehage</t>
  </si>
  <si>
    <t>Vesteråt barnehage</t>
  </si>
  <si>
    <t>231000 - Barnehageadministrasjon</t>
  </si>
  <si>
    <t>231002 - Styrket tilbud barn med spesielle behov</t>
  </si>
  <si>
    <t>232010 - Barnas hus barnehage</t>
  </si>
  <si>
    <t>232020 - Bugården barnehage</t>
  </si>
  <si>
    <t>232030 - Elverhøy barnehage</t>
  </si>
  <si>
    <t>232040 - Feen barnehage</t>
  </si>
  <si>
    <t>232050 - Frydenberg barnehage</t>
  </si>
  <si>
    <t>232060 - Gravdal barnehage</t>
  </si>
  <si>
    <t>232070 - Haukerød barnehage</t>
  </si>
  <si>
    <t>232080 - Høyjord barnehage</t>
  </si>
  <si>
    <t>232090 - Kapteinløkka barnehage</t>
  </si>
  <si>
    <t>232100 - Kodal barnehage</t>
  </si>
  <si>
    <t>232110 - Krokemoa barnehage</t>
  </si>
  <si>
    <t>232120 - Modalen barnehage</t>
  </si>
  <si>
    <t>232130 - Møyland barnehage</t>
  </si>
  <si>
    <t>232140 - Ranvik barnehage</t>
  </si>
  <si>
    <t>232150 - Ringkollen barnehage</t>
  </si>
  <si>
    <t>232160 - Svartås barnehage</t>
  </si>
  <si>
    <t>232170 - Trekanten barnehage</t>
  </si>
  <si>
    <t>232180 - Trudvang barnehage</t>
  </si>
  <si>
    <t>232190 - Tuften barnehage</t>
  </si>
  <si>
    <t>232200 - Vardenlia barnehage</t>
  </si>
  <si>
    <t>232210 - Vesteråt barnehage</t>
  </si>
  <si>
    <t>232220 - Åsane barnehage</t>
  </si>
  <si>
    <t>233000 - Barnehagemyndigheten felles</t>
  </si>
  <si>
    <t>233010 - Pedagogisk tilrettel. barn m/ spes.behov</t>
  </si>
  <si>
    <t>233012 - Pedagogisk tilrettel. flerspråk. barn</t>
  </si>
  <si>
    <t>233014 - Fellestiltak</t>
  </si>
  <si>
    <t>233016 - Ikke-kommunale barnehager</t>
  </si>
  <si>
    <t>Hele regnskapet, brutto driftsutgifter, funksjon 201 (fratr lønnsref)</t>
  </si>
  <si>
    <t>Seksjon 11, 12, 13 og 14, samt 19</t>
  </si>
  <si>
    <t>4-serien - Kultur, fritid</t>
  </si>
  <si>
    <t>3-serien - Helse, sosial og omsorg</t>
  </si>
  <si>
    <t>6-serien - Eiendom</t>
  </si>
  <si>
    <t>5-serien - Miljø og plan</t>
  </si>
  <si>
    <t>Seksjon 89 Fordelte utgifter</t>
  </si>
  <si>
    <t>KKl</t>
  </si>
  <si>
    <t>ANSVAR</t>
  </si>
  <si>
    <t>HKSTED</t>
  </si>
  <si>
    <t>KONTO</t>
  </si>
  <si>
    <t>FUNKSJON</t>
  </si>
  <si>
    <t>PROSJEKT</t>
  </si>
  <si>
    <t>OBJEKT</t>
  </si>
  <si>
    <t>REGNSKAP</t>
  </si>
  <si>
    <t>BUDSJETT gjeld</t>
  </si>
  <si>
    <t>Endring 13. måned lønn</t>
  </si>
  <si>
    <t>Kommunale barnehager felles</t>
  </si>
  <si>
    <t>Diverse andre tillegg, ekstrahjelp</t>
  </si>
  <si>
    <t>Åpen barnehage, Sentrum</t>
  </si>
  <si>
    <t>Åpen bhg. Kroken</t>
  </si>
  <si>
    <t>Kontofordelte utg. F 190 renhold</t>
  </si>
  <si>
    <t>Brutto kostnader fratrukket øvrige inntekter</t>
  </si>
  <si>
    <t xml:space="preserve">Tilskudd drift </t>
  </si>
  <si>
    <t>Øvrige inntekter til fratrekk</t>
  </si>
  <si>
    <t>Skagerak Kindergarten</t>
  </si>
  <si>
    <t>Krokenskogen Kanvasbarnehage</t>
  </si>
  <si>
    <t>Gjekstad Kanvasbarnhage</t>
  </si>
  <si>
    <t>Breidablikk Kanvasbarnehage</t>
  </si>
  <si>
    <t>Karisletta Kanvasbarnehage</t>
  </si>
  <si>
    <t>Barnas Have</t>
  </si>
  <si>
    <t>Furustad barnehage</t>
  </si>
  <si>
    <t>Gapahuken barnehage</t>
  </si>
  <si>
    <t>Helgerød barnehage</t>
  </si>
  <si>
    <t>Hunsrød foreldrelagsbarnehage</t>
  </si>
  <si>
    <t>Høgenhall barnehage</t>
  </si>
  <si>
    <t>Kathrines Have</t>
  </si>
  <si>
    <t>Knøttetreff</t>
  </si>
  <si>
    <t>Krokusen barnehage</t>
  </si>
  <si>
    <t>Lahelle barnehage</t>
  </si>
  <si>
    <t>Mokollen barnehage</t>
  </si>
  <si>
    <t>Napperød Naturbarnehage</t>
  </si>
  <si>
    <t>Pingeline barnehage</t>
  </si>
  <si>
    <t>Prestekragen barnehage</t>
  </si>
  <si>
    <t>Eplebl. Steinerbarnehage</t>
  </si>
  <si>
    <t>Sole barnehage</t>
  </si>
  <si>
    <t>Soltoppen barnehage</t>
  </si>
  <si>
    <t>Solvang barnehage</t>
  </si>
  <si>
    <t>Sverstad barnehage</t>
  </si>
  <si>
    <t>Toppen barnehage</t>
  </si>
  <si>
    <t>Veslehaven barnehage</t>
  </si>
  <si>
    <t>Villa Villekulla barnehage</t>
  </si>
  <si>
    <t>Østerøy barnehage</t>
  </si>
  <si>
    <t>Løkka barnehage</t>
  </si>
  <si>
    <t>Espira Åbol barnehage</t>
  </si>
  <si>
    <t>Kulturbarnehagen Nohas</t>
  </si>
  <si>
    <t>Veraåsen barnehage</t>
  </si>
  <si>
    <t>Steg 9, input</t>
  </si>
  <si>
    <t>Steg 10</t>
  </si>
  <si>
    <t>Foreldrebetaling inkl kostpenger</t>
  </si>
  <si>
    <t>Steg 10, erstattet</t>
  </si>
  <si>
    <t>Foreldre-betaling inkl kost</t>
  </si>
  <si>
    <t>Kostpenger (regnskapstall)</t>
  </si>
  <si>
    <t>(makspris i tilskuddsåret</t>
  </si>
  <si>
    <t>Grunnlag</t>
  </si>
  <si>
    <t>Sum inkl aga</t>
  </si>
  <si>
    <t>Kommunens pensjonsutg. pr heltidsstilling, deflatert</t>
  </si>
  <si>
    <t>201010 - Administrasjon, felles stab</t>
  </si>
  <si>
    <t>232230-2 - Åpen barnehage</t>
  </si>
  <si>
    <t>Kommunens personalkostn per heltidsplass, deflatert</t>
  </si>
  <si>
    <t>Vektet</t>
  </si>
  <si>
    <t>Hoppensprett barnehage</t>
  </si>
  <si>
    <t>Ansvarstekst</t>
  </si>
  <si>
    <t>Seksjon</t>
  </si>
  <si>
    <t>KONTOTEKST</t>
  </si>
  <si>
    <t>Innt/utg</t>
  </si>
  <si>
    <t>12</t>
  </si>
  <si>
    <t>Ikke i bruk - Forsikring gruppeliv</t>
  </si>
  <si>
    <t>13</t>
  </si>
  <si>
    <t>19</t>
  </si>
  <si>
    <t>23</t>
  </si>
  <si>
    <t>89</t>
  </si>
  <si>
    <t>Hele regnskapet, brutto driftsutgifter, funksjon 221</t>
  </si>
  <si>
    <t>Sum drift</t>
  </si>
  <si>
    <t>Tilskudd private åpne barnehager</t>
  </si>
  <si>
    <t>Åpningstid på 6 til 15 timer</t>
  </si>
  <si>
    <t>Åpningstid på 16 timer eller mer</t>
  </si>
  <si>
    <t>201</t>
  </si>
  <si>
    <t/>
  </si>
  <si>
    <t>Født 2017-&gt;</t>
  </si>
  <si>
    <t>Født 2016&lt;-</t>
  </si>
  <si>
    <t>Andel åpen barnehage og andre funksjoner</t>
  </si>
  <si>
    <t>11</t>
  </si>
  <si>
    <t>Forsikring gruppeliv</t>
  </si>
  <si>
    <t>Lørdags og søndagstillegg, vikarer</t>
  </si>
  <si>
    <t>Skattepliktig stipend</t>
  </si>
  <si>
    <t>53</t>
  </si>
  <si>
    <t>Byggdrift sentrum</t>
  </si>
  <si>
    <t>Byggdrift Andebu og Stokke</t>
  </si>
  <si>
    <t>Kontofordelte utg. F 190 verksted</t>
  </si>
  <si>
    <t>Født 2018-&gt;</t>
  </si>
  <si>
    <t>Født 2017&lt;-</t>
  </si>
  <si>
    <t>Kapitaltilskudd til private ordinære barnehager *</t>
  </si>
  <si>
    <t>* satsene er ennå ikke offentliggjorte</t>
  </si>
  <si>
    <t>Driftstilskudd private barnehager</t>
  </si>
  <si>
    <t>Pr 15.12.2021</t>
  </si>
  <si>
    <t>211000 - Pedagogisk-psykologisk tjeneste</t>
  </si>
  <si>
    <t>Fordel naturalytelser motpost</t>
  </si>
  <si>
    <t>Lørdags- og søndagstillegg, ekstrahjelp</t>
  </si>
  <si>
    <t>Lærlinger</t>
  </si>
  <si>
    <t>Lønn lærlinger</t>
  </si>
  <si>
    <t>Sykevikarer, renhold</t>
  </si>
  <si>
    <t>Ferievikarer, renhold</t>
  </si>
  <si>
    <t>Vikarer i lønnet permisjon, renhold</t>
  </si>
  <si>
    <t>10% av grl.lag</t>
  </si>
  <si>
    <t>14,1% av 10% pensjon</t>
  </si>
  <si>
    <t>Utbetalt tom 1.kv</t>
  </si>
  <si>
    <t>Akonto-utbetaling pr md fra april</t>
  </si>
  <si>
    <t>Nasjonalt (10%)</t>
  </si>
  <si>
    <t>Kapitalsatser (2023-sats)</t>
  </si>
  <si>
    <t>Satser per plass andre private barnehager</t>
  </si>
  <si>
    <t>Vesterøy barnehage</t>
  </si>
  <si>
    <t>Antall ansatte pr 15/12-2021</t>
  </si>
  <si>
    <t>Pensjonspåslag eks arbeidsgiveravgift (10%)</t>
  </si>
  <si>
    <t>Tilskudd 2024 basert på regnskap 2022</t>
  </si>
  <si>
    <t>Årsregnskap 2022 Sandefjord kommune</t>
  </si>
  <si>
    <t>Regnskap 2022, funksjon 201,211 og 221</t>
  </si>
  <si>
    <t>Pr 15.12.2022</t>
  </si>
  <si>
    <t>2024-sats</t>
  </si>
  <si>
    <t>Påslag pensjon 10% pluss AGA</t>
  </si>
  <si>
    <t>221</t>
  </si>
  <si>
    <t>113013</t>
  </si>
  <si>
    <t>1283</t>
  </si>
  <si>
    <t>1282</t>
  </si>
  <si>
    <t>Gruppelivsforsikring</t>
  </si>
  <si>
    <t>113060</t>
  </si>
  <si>
    <t>121910</t>
  </si>
  <si>
    <t>Periodisering av  lønn til vikarer - 13 mnd lønn mm.</t>
  </si>
  <si>
    <t>Periodisering av pensjonspremie, 13 mnd lønn mm.</t>
  </si>
  <si>
    <t>Periodisering av aga av 13 mnd lønn mm.</t>
  </si>
  <si>
    <t>1627</t>
  </si>
  <si>
    <t>1639</t>
  </si>
  <si>
    <t>1099</t>
  </si>
  <si>
    <t>1550</t>
  </si>
  <si>
    <t>24274</t>
  </si>
  <si>
    <t>24268</t>
  </si>
  <si>
    <t>24201</t>
  </si>
  <si>
    <t>24203</t>
  </si>
  <si>
    <t>24206</t>
  </si>
  <si>
    <t>24207</t>
  </si>
  <si>
    <t>24209</t>
  </si>
  <si>
    <t>24210</t>
  </si>
  <si>
    <t>24213</t>
  </si>
  <si>
    <t>24214</t>
  </si>
  <si>
    <t>24212</t>
  </si>
  <si>
    <t>24220</t>
  </si>
  <si>
    <t>24221</t>
  </si>
  <si>
    <t>24222</t>
  </si>
  <si>
    <t>24264</t>
  </si>
  <si>
    <t>24265</t>
  </si>
  <si>
    <t>24266</t>
  </si>
  <si>
    <t>24267</t>
  </si>
  <si>
    <t>24269</t>
  </si>
  <si>
    <t>24270</t>
  </si>
  <si>
    <t>24271</t>
  </si>
  <si>
    <t>24272</t>
  </si>
  <si>
    <t>24273</t>
  </si>
  <si>
    <t>24277</t>
  </si>
  <si>
    <t>25703</t>
  </si>
  <si>
    <t>131013</t>
  </si>
  <si>
    <t>191011</t>
  </si>
  <si>
    <t>201010</t>
  </si>
  <si>
    <t>Administrasjon, felles stab</t>
  </si>
  <si>
    <t>20</t>
  </si>
  <si>
    <t>231002</t>
  </si>
  <si>
    <t>Styrket tilbud barn med spesielle behov</t>
  </si>
  <si>
    <t>232000</t>
  </si>
  <si>
    <t>1589</t>
  </si>
  <si>
    <t>1714</t>
  </si>
  <si>
    <t>1553</t>
  </si>
  <si>
    <t>232010</t>
  </si>
  <si>
    <t>232020</t>
  </si>
  <si>
    <t>232030</t>
  </si>
  <si>
    <t>1681</t>
  </si>
  <si>
    <t>1289</t>
  </si>
  <si>
    <t>1278</t>
  </si>
  <si>
    <t>232040</t>
  </si>
  <si>
    <t>Helge- og høytidstillegg, vikarer</t>
  </si>
  <si>
    <t>Helge- og høytidstillegg, ekstrahjelp</t>
  </si>
  <si>
    <t>232050</t>
  </si>
  <si>
    <t>232060</t>
  </si>
  <si>
    <t>1545</t>
  </si>
  <si>
    <t>232070</t>
  </si>
  <si>
    <t>232080</t>
  </si>
  <si>
    <t>232090</t>
  </si>
  <si>
    <t>232100</t>
  </si>
  <si>
    <t>232110</t>
  </si>
  <si>
    <t>3140</t>
  </si>
  <si>
    <t>232120</t>
  </si>
  <si>
    <t>232130</t>
  </si>
  <si>
    <t>232140</t>
  </si>
  <si>
    <t>232150</t>
  </si>
  <si>
    <t>232160</t>
  </si>
  <si>
    <t>232170</t>
  </si>
  <si>
    <t>232180</t>
  </si>
  <si>
    <t>232190</t>
  </si>
  <si>
    <t>232200</t>
  </si>
  <si>
    <t>232210</t>
  </si>
  <si>
    <t>232220</t>
  </si>
  <si>
    <t>232230</t>
  </si>
  <si>
    <t>232232</t>
  </si>
  <si>
    <t>233014</t>
  </si>
  <si>
    <t>Fellestiltak</t>
  </si>
  <si>
    <t>1598</t>
  </si>
  <si>
    <t>534040</t>
  </si>
  <si>
    <t>534050</t>
  </si>
  <si>
    <t>21112</t>
  </si>
  <si>
    <t>891000</t>
  </si>
  <si>
    <t>9999</t>
  </si>
  <si>
    <t>99999</t>
  </si>
  <si>
    <t>891005</t>
  </si>
  <si>
    <t>Kontofordelte utg F 190 vann og avløp</t>
  </si>
  <si>
    <t>891015</t>
  </si>
  <si>
    <t>Kontofordelte utg F 190 vei og trafikk</t>
  </si>
  <si>
    <t>891030</t>
  </si>
  <si>
    <t>891035</t>
  </si>
  <si>
    <t>Kontofordelte utg. F 190 biler og maskiner</t>
  </si>
  <si>
    <t>891040</t>
  </si>
  <si>
    <t>Kontofordelte utg. F 190 vedlikehold</t>
  </si>
  <si>
    <t>891050</t>
  </si>
  <si>
    <t>Solløkka barnehage</t>
  </si>
  <si>
    <t>Satser 2024</t>
  </si>
  <si>
    <t>Til og med 2015</t>
  </si>
  <si>
    <t>2016, 2017 og 2018</t>
  </si>
  <si>
    <t>2019, 2020 og 2021</t>
  </si>
  <si>
    <t>2022, 2023 og 2024</t>
  </si>
  <si>
    <t>Nasjonale satser for kommuner uten kommunale bhg</t>
  </si>
  <si>
    <t>Sum tilskudd 2024</t>
  </si>
  <si>
    <t>Forventet (tilsvarer Holtegrenda)</t>
  </si>
  <si>
    <t>30 plasser i 2023</t>
  </si>
  <si>
    <t>Antall ansatte pr 15/12-2022</t>
  </si>
  <si>
    <t>Brutto driftsutgifter i kommunale barnehager 2022 (F201 og 221)</t>
  </si>
  <si>
    <t xml:space="preserve"> = brutto driftsutgifter kommunale barnehager 2022</t>
  </si>
  <si>
    <t>Brutto driftsutgifter 2022</t>
  </si>
  <si>
    <t>Deflatorjustering 2023  4,5%</t>
  </si>
  <si>
    <t xml:space="preserve"> = grunnlag deflatorjustering 2023</t>
  </si>
  <si>
    <t>Deflatorjustering 2024  4,3%</t>
  </si>
  <si>
    <t xml:space="preserve"> = Deflatorjustert driftsutgifter 2024</t>
  </si>
  <si>
    <t>Tilskuddsats til driftsutgifter i 2024:</t>
  </si>
  <si>
    <t>Sum ordinære driftsutgifter, pensjonspåslag og adm.påslag</t>
  </si>
  <si>
    <t>Deflatert (2022 med 4,5% og 4,3% i 2023)</t>
  </si>
  <si>
    <t>Kapitalsatser (2024-sats)</t>
  </si>
  <si>
    <t>Tilskuddsberegning 2024 v Vedtak 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</si>
</sst>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kr&quot;* #,##0_);_(&quot;kr&quot;* \(#,##0\);_(&quot;kr&quot;* &quot;-&quot;_);_(@_)"/>
    <numFmt numFmtId="165" formatCode="_(* #,##0_);_(* \(#,##0\);_(* &quot;-&quot;_);_(@_)"/>
    <numFmt numFmtId="166" formatCode="_(&quot;kr&quot;* #,##0.00_);_(&quot;kr&quot;* \(#,##0.00\);_(&quot;kr&quot;* &quot;-&quot;??_);_(@_)"/>
    <numFmt numFmtId="167" formatCode="_(* #,##0.00_);_(* \(#,##0.00\);_(* &quot;-&quot;??_);_(@_)"/>
    <numFmt numFmtId="168" formatCode="_(* #,##0_);_(* \(#,##0\);_(* &quot;-&quot;??_);_(@_)"/>
    <numFmt numFmtId="169" formatCode="0.0\ %"/>
    <numFmt numFmtId="170" formatCode="d/m/yy;@"/>
    <numFmt numFmtId="171" formatCode="0.0000"/>
    <numFmt numFmtId="172" formatCode="_ * #,##0_ ;_ * \-#,##0_ ;_ * &quot;-&quot;?_ ;_ @_ "/>
    <numFmt numFmtId="173" formatCode="0.000"/>
    <numFmt numFmtId="174" formatCode="0.0"/>
    <numFmt numFmtId="175" formatCode="_(* #,##0.000_);_(* \(#,##0.000\);_(* &quot;-&quot;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32"/>
      <name val="Cambria"/>
      <family val="1"/>
    </font>
    <font>
      <b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color theme="7" tint="0.399975585192419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  <font>
      <sz val="8"/>
      <name val="Arial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6">
    <xf numFmtId="0" fontId="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7" fontId="16" fillId="0" borderId="0" applyFont="0" applyFill="0" applyBorder="0" applyAlignment="0" applyProtection="0"/>
    <xf numFmtId="0" fontId="15" fillId="0" borderId="0"/>
    <xf numFmtId="0" fontId="34" fillId="0" borderId="0"/>
    <xf numFmtId="165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5" fillId="8" borderId="31" applyNumberFormat="0" applyAlignment="0" applyProtection="0"/>
    <xf numFmtId="0" fontId="13" fillId="0" borderId="0"/>
    <xf numFmtId="0" fontId="12" fillId="0" borderId="0"/>
    <xf numFmtId="0" fontId="4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30" fillId="0" borderId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6" fillId="0" borderId="0"/>
    <xf numFmtId="0" fontId="8" fillId="0" borderId="0"/>
    <xf numFmtId="167" fontId="2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5" fillId="0" borderId="0"/>
    <xf numFmtId="0" fontId="7" fillId="0" borderId="0"/>
    <xf numFmtId="0" fontId="49" fillId="0" borderId="0"/>
    <xf numFmtId="167" fontId="20" fillId="0" borderId="0" applyFont="0" applyFill="0" applyBorder="0" applyAlignment="0" applyProtection="0"/>
  </cellStyleXfs>
  <cellXfs count="231">
    <xf numFmtId="0" fontId="0" fillId="0" borderId="0" xfId="0"/>
    <xf numFmtId="3" fontId="0" fillId="0" borderId="0" xfId="0" applyNumberFormat="1"/>
    <xf numFmtId="0" fontId="20" fillId="0" borderId="0" xfId="0" applyFont="1"/>
    <xf numFmtId="3" fontId="0" fillId="0" borderId="3" xfId="0" applyNumberFormat="1" applyBorder="1"/>
    <xf numFmtId="3" fontId="0" fillId="0" borderId="0" xfId="0" applyNumberFormat="1" applyAlignment="1">
      <alignment horizontal="right"/>
    </xf>
    <xf numFmtId="9" fontId="0" fillId="0" borderId="0" xfId="0" applyNumberFormat="1"/>
    <xf numFmtId="0" fontId="25" fillId="2" borderId="1" xfId="0" applyFont="1" applyFill="1" applyBorder="1" applyAlignment="1">
      <alignment horizontal="left"/>
    </xf>
    <xf numFmtId="3" fontId="0" fillId="3" borderId="5" xfId="0" applyNumberFormat="1" applyFill="1" applyBorder="1"/>
    <xf numFmtId="4" fontId="0" fillId="3" borderId="6" xfId="0" applyNumberFormat="1" applyFill="1" applyBorder="1"/>
    <xf numFmtId="0" fontId="20" fillId="2" borderId="9" xfId="0" applyFont="1" applyFill="1" applyBorder="1"/>
    <xf numFmtId="3" fontId="20" fillId="0" borderId="1" xfId="0" applyNumberFormat="1" applyFont="1" applyBorder="1"/>
    <xf numFmtId="0" fontId="0" fillId="4" borderId="0" xfId="0" applyFill="1"/>
    <xf numFmtId="0" fontId="20" fillId="4" borderId="1" xfId="0" applyFont="1" applyFill="1" applyBorder="1"/>
    <xf numFmtId="0" fontId="0" fillId="4" borderId="8" xfId="0" applyFill="1" applyBorder="1"/>
    <xf numFmtId="0" fontId="20" fillId="4" borderId="0" xfId="0" applyFont="1" applyFill="1"/>
    <xf numFmtId="0" fontId="20" fillId="4" borderId="10" xfId="0" applyFont="1" applyFill="1" applyBorder="1"/>
    <xf numFmtId="0" fontId="21" fillId="4" borderId="0" xfId="0" applyFont="1" applyFill="1" applyAlignment="1">
      <alignment horizontal="center"/>
    </xf>
    <xf numFmtId="0" fontId="20" fillId="4" borderId="10" xfId="0" applyFont="1" applyFill="1" applyBorder="1" applyAlignment="1">
      <alignment wrapText="1"/>
    </xf>
    <xf numFmtId="3" fontId="20" fillId="4" borderId="0" xfId="0" applyNumberFormat="1" applyFont="1" applyFill="1" applyAlignment="1">
      <alignment horizontal="right"/>
    </xf>
    <xf numFmtId="3" fontId="20" fillId="4" borderId="0" xfId="0" applyNumberFormat="1" applyFont="1" applyFill="1"/>
    <xf numFmtId="3" fontId="26" fillId="4" borderId="0" xfId="0" applyNumberFormat="1" applyFont="1" applyFill="1"/>
    <xf numFmtId="0" fontId="20" fillId="4" borderId="12" xfId="0" applyFont="1" applyFill="1" applyBorder="1"/>
    <xf numFmtId="0" fontId="20" fillId="4" borderId="7" xfId="0" applyFont="1" applyFill="1" applyBorder="1" applyAlignment="1">
      <alignment wrapText="1"/>
    </xf>
    <xf numFmtId="0" fontId="20" fillId="4" borderId="0" xfId="0" applyFont="1" applyFill="1" applyAlignment="1">
      <alignment horizontal="center" wrapText="1"/>
    </xf>
    <xf numFmtId="3" fontId="20" fillId="4" borderId="7" xfId="0" applyNumberFormat="1" applyFont="1" applyFill="1" applyBorder="1"/>
    <xf numFmtId="0" fontId="20" fillId="4" borderId="14" xfId="0" applyFont="1" applyFill="1" applyBorder="1"/>
    <xf numFmtId="3" fontId="20" fillId="4" borderId="13" xfId="0" applyNumberFormat="1" applyFont="1" applyFill="1" applyBorder="1" applyAlignment="1">
      <alignment horizontal="right"/>
    </xf>
    <xf numFmtId="0" fontId="20" fillId="4" borderId="8" xfId="0" applyFont="1" applyFill="1" applyBorder="1"/>
    <xf numFmtId="3" fontId="0" fillId="4" borderId="8" xfId="0" applyNumberFormat="1" applyFill="1" applyBorder="1"/>
    <xf numFmtId="0" fontId="20" fillId="4" borderId="1" xfId="0" applyFont="1" applyFill="1" applyBorder="1" applyAlignment="1">
      <alignment wrapText="1"/>
    </xf>
    <xf numFmtId="0" fontId="21" fillId="4" borderId="0" xfId="0" applyFont="1" applyFill="1"/>
    <xf numFmtId="0" fontId="21" fillId="4" borderId="1" xfId="0" applyFont="1" applyFill="1" applyBorder="1"/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3" fontId="20" fillId="4" borderId="1" xfId="0" applyNumberFormat="1" applyFont="1" applyFill="1" applyBorder="1"/>
    <xf numFmtId="4" fontId="20" fillId="4" borderId="15" xfId="0" applyNumberFormat="1" applyFont="1" applyFill="1" applyBorder="1"/>
    <xf numFmtId="4" fontId="20" fillId="4" borderId="4" xfId="0" applyNumberFormat="1" applyFont="1" applyFill="1" applyBorder="1"/>
    <xf numFmtId="4" fontId="20" fillId="4" borderId="6" xfId="0" applyNumberFormat="1" applyFont="1" applyFill="1" applyBorder="1"/>
    <xf numFmtId="4" fontId="20" fillId="4" borderId="1" xfId="0" applyNumberFormat="1" applyFont="1" applyFill="1" applyBorder="1"/>
    <xf numFmtId="10" fontId="20" fillId="4" borderId="1" xfId="0" applyNumberFormat="1" applyFont="1" applyFill="1" applyBorder="1"/>
    <xf numFmtId="0" fontId="0" fillId="2" borderId="8" xfId="0" applyFill="1" applyBorder="1"/>
    <xf numFmtId="168" fontId="0" fillId="0" borderId="1" xfId="13" applyNumberFormat="1" applyFont="1" applyBorder="1"/>
    <xf numFmtId="170" fontId="0" fillId="2" borderId="1" xfId="0" applyNumberFormat="1" applyFill="1" applyBorder="1" applyAlignment="1">
      <alignment horizontal="left"/>
    </xf>
    <xf numFmtId="0" fontId="27" fillId="4" borderId="0" xfId="0" applyFont="1" applyFill="1"/>
    <xf numFmtId="0" fontId="21" fillId="4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20" fillId="4" borderId="19" xfId="0" applyFont="1" applyFill="1" applyBorder="1"/>
    <xf numFmtId="0" fontId="28" fillId="4" borderId="0" xfId="0" quotePrefix="1" applyFont="1" applyFill="1"/>
    <xf numFmtId="168" fontId="20" fillId="0" borderId="0" xfId="13" applyNumberFormat="1" applyFont="1" applyFill="1"/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1" fillId="4" borderId="18" xfId="0" applyFont="1" applyFill="1" applyBorder="1"/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10" fontId="21" fillId="0" borderId="1" xfId="0" applyNumberFormat="1" applyFont="1" applyBorder="1" applyAlignment="1">
      <alignment horizontal="left"/>
    </xf>
    <xf numFmtId="4" fontId="21" fillId="0" borderId="1" xfId="0" applyNumberFormat="1" applyFont="1" applyBorder="1" applyAlignment="1">
      <alignment horizontal="right" indent="1"/>
    </xf>
    <xf numFmtId="3" fontId="21" fillId="0" borderId="1" xfId="0" applyNumberFormat="1" applyFont="1" applyBorder="1" applyAlignment="1">
      <alignment horizontal="right" indent="1"/>
    </xf>
    <xf numFmtId="168" fontId="20" fillId="0" borderId="0" xfId="13" applyNumberFormat="1" applyFont="1"/>
    <xf numFmtId="4" fontId="0" fillId="4" borderId="1" xfId="0" applyNumberFormat="1" applyFill="1" applyBorder="1"/>
    <xf numFmtId="168" fontId="0" fillId="4" borderId="1" xfId="13" applyNumberFormat="1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167" fontId="0" fillId="0" borderId="0" xfId="13" applyFont="1"/>
    <xf numFmtId="0" fontId="0" fillId="0" borderId="0" xfId="0" applyAlignment="1">
      <alignment horizontal="right"/>
    </xf>
    <xf numFmtId="167" fontId="0" fillId="0" borderId="0" xfId="13" applyFont="1" applyAlignment="1">
      <alignment horizontal="right"/>
    </xf>
    <xf numFmtId="168" fontId="21" fillId="4" borderId="1" xfId="13" applyNumberFormat="1" applyFont="1" applyFill="1" applyBorder="1"/>
    <xf numFmtId="3" fontId="0" fillId="0" borderId="4" xfId="0" applyNumberFormat="1" applyBorder="1"/>
    <xf numFmtId="168" fontId="0" fillId="0" borderId="0" xfId="13" applyNumberFormat="1" applyFont="1"/>
    <xf numFmtId="4" fontId="20" fillId="0" borderId="1" xfId="0" applyNumberFormat="1" applyFont="1" applyBorder="1" applyAlignment="1">
      <alignment horizontal="right" indent="1"/>
    </xf>
    <xf numFmtId="0" fontId="20" fillId="4" borderId="0" xfId="0" applyFont="1" applyFill="1" applyAlignment="1">
      <alignment horizontal="right"/>
    </xf>
    <xf numFmtId="168" fontId="0" fillId="2" borderId="3" xfId="13" applyNumberFormat="1" applyFont="1" applyFill="1" applyBorder="1"/>
    <xf numFmtId="168" fontId="0" fillId="2" borderId="1" xfId="13" applyNumberFormat="1" applyFont="1" applyFill="1" applyBorder="1"/>
    <xf numFmtId="168" fontId="0" fillId="0" borderId="3" xfId="13" applyNumberFormat="1" applyFont="1" applyBorder="1"/>
    <xf numFmtId="168" fontId="0" fillId="0" borderId="4" xfId="13" applyNumberFormat="1" applyFont="1" applyBorder="1"/>
    <xf numFmtId="168" fontId="20" fillId="0" borderId="1" xfId="13" applyNumberFormat="1" applyFont="1" applyFill="1" applyBorder="1"/>
    <xf numFmtId="171" fontId="20" fillId="0" borderId="0" xfId="0" applyNumberFormat="1" applyFont="1" applyAlignment="1">
      <alignment horizontal="center"/>
    </xf>
    <xf numFmtId="0" fontId="21" fillId="0" borderId="0" xfId="0" applyFont="1"/>
    <xf numFmtId="168" fontId="0" fillId="0" borderId="0" xfId="13" applyNumberFormat="1" applyFont="1" applyBorder="1"/>
    <xf numFmtId="168" fontId="0" fillId="0" borderId="0" xfId="13" applyNumberFormat="1" applyFont="1" applyFill="1" applyBorder="1"/>
    <xf numFmtId="0" fontId="21" fillId="0" borderId="1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0" fillId="4" borderId="16" xfId="0" applyFill="1" applyBorder="1"/>
    <xf numFmtId="0" fontId="0" fillId="4" borderId="1" xfId="0" applyFill="1" applyBorder="1"/>
    <xf numFmtId="0" fontId="31" fillId="4" borderId="18" xfId="0" applyFont="1" applyFill="1" applyBorder="1"/>
    <xf numFmtId="169" fontId="0" fillId="2" borderId="8" xfId="0" applyNumberFormat="1" applyFill="1" applyBorder="1"/>
    <xf numFmtId="0" fontId="36" fillId="0" borderId="1" xfId="25" applyFont="1" applyBorder="1"/>
    <xf numFmtId="0" fontId="20" fillId="9" borderId="11" xfId="0" applyFont="1" applyFill="1" applyBorder="1"/>
    <xf numFmtId="0" fontId="38" fillId="0" borderId="0" xfId="0" applyFont="1"/>
    <xf numFmtId="168" fontId="20" fillId="0" borderId="0" xfId="13" applyNumberFormat="1" applyFont="1" applyFill="1" applyBorder="1"/>
    <xf numFmtId="0" fontId="20" fillId="0" borderId="1" xfId="0" applyFont="1" applyBorder="1" applyAlignment="1">
      <alignment horizontal="left"/>
    </xf>
    <xf numFmtId="3" fontId="0" fillId="0" borderId="1" xfId="0" applyNumberFormat="1" applyBorder="1"/>
    <xf numFmtId="168" fontId="0" fillId="0" borderId="1" xfId="13" applyNumberFormat="1" applyFont="1" applyFill="1" applyBorder="1"/>
    <xf numFmtId="172" fontId="0" fillId="0" borderId="1" xfId="0" applyNumberFormat="1" applyBorder="1"/>
    <xf numFmtId="0" fontId="12" fillId="0" borderId="0" xfId="26"/>
    <xf numFmtId="0" fontId="35" fillId="10" borderId="1" xfId="24" applyFill="1" applyBorder="1"/>
    <xf numFmtId="0" fontId="35" fillId="10" borderId="1" xfId="24" applyFill="1" applyBorder="1" applyAlignment="1">
      <alignment horizontal="center" vertical="center"/>
    </xf>
    <xf numFmtId="0" fontId="12" fillId="0" borderId="1" xfId="26" applyBorder="1"/>
    <xf numFmtId="0" fontId="12" fillId="0" borderId="1" xfId="26" applyBorder="1" applyAlignment="1">
      <alignment horizontal="center"/>
    </xf>
    <xf numFmtId="0" fontId="37" fillId="10" borderId="1" xfId="26" applyFont="1" applyFill="1" applyBorder="1"/>
    <xf numFmtId="0" fontId="12" fillId="10" borderId="1" xfId="26" applyFill="1" applyBorder="1"/>
    <xf numFmtId="168" fontId="0" fillId="0" borderId="3" xfId="13" applyNumberFormat="1" applyFont="1" applyFill="1" applyBorder="1"/>
    <xf numFmtId="168" fontId="0" fillId="0" borderId="2" xfId="13" applyNumberFormat="1" applyFont="1" applyFill="1" applyBorder="1"/>
    <xf numFmtId="168" fontId="20" fillId="5" borderId="1" xfId="13" applyNumberFormat="1" applyFont="1" applyFill="1" applyBorder="1"/>
    <xf numFmtId="0" fontId="20" fillId="5" borderId="0" xfId="0" applyFont="1" applyFill="1"/>
    <xf numFmtId="2" fontId="20" fillId="5" borderId="0" xfId="0" applyNumberFormat="1" applyFont="1" applyFill="1"/>
    <xf numFmtId="168" fontId="20" fillId="5" borderId="0" xfId="0" applyNumberFormat="1" applyFont="1" applyFill="1"/>
    <xf numFmtId="167" fontId="39" fillId="0" borderId="0" xfId="13" applyFont="1" applyAlignment="1">
      <alignment horizontal="right"/>
    </xf>
    <xf numFmtId="168" fontId="21" fillId="4" borderId="1" xfId="0" applyNumberFormat="1" applyFont="1" applyFill="1" applyBorder="1"/>
    <xf numFmtId="168" fontId="0" fillId="0" borderId="0" xfId="0" applyNumberFormat="1"/>
    <xf numFmtId="9" fontId="0" fillId="0" borderId="0" xfId="12" applyFont="1"/>
    <xf numFmtId="168" fontId="21" fillId="0" borderId="1" xfId="13" applyNumberFormat="1" applyFont="1" applyFill="1" applyBorder="1" applyAlignment="1">
      <alignment horizontal="center" vertical="center" wrapText="1"/>
    </xf>
    <xf numFmtId="0" fontId="37" fillId="11" borderId="0" xfId="0" applyFont="1" applyFill="1"/>
    <xf numFmtId="0" fontId="37" fillId="0" borderId="0" xfId="0" applyFont="1"/>
    <xf numFmtId="49" fontId="0" fillId="0" borderId="0" xfId="0" applyNumberFormat="1" applyAlignment="1">
      <alignment horizontal="right"/>
    </xf>
    <xf numFmtId="4" fontId="0" fillId="0" borderId="0" xfId="0" applyNumberFormat="1"/>
    <xf numFmtId="167" fontId="39" fillId="0" borderId="0" xfId="13" applyFont="1" applyFill="1" applyAlignment="1">
      <alignment horizontal="right"/>
    </xf>
    <xf numFmtId="3" fontId="0" fillId="0" borderId="8" xfId="0" applyNumberFormat="1" applyBorder="1"/>
    <xf numFmtId="4" fontId="0" fillId="0" borderId="8" xfId="0" applyNumberFormat="1" applyBorder="1"/>
    <xf numFmtId="4" fontId="0" fillId="12" borderId="1" xfId="13" applyNumberFormat="1" applyFont="1" applyFill="1" applyBorder="1"/>
    <xf numFmtId="167" fontId="44" fillId="0" borderId="0" xfId="13" applyFont="1"/>
    <xf numFmtId="3" fontId="20" fillId="5" borderId="0" xfId="0" applyNumberFormat="1" applyFont="1" applyFill="1"/>
    <xf numFmtId="0" fontId="36" fillId="12" borderId="1" xfId="25" applyFont="1" applyFill="1" applyBorder="1"/>
    <xf numFmtId="0" fontId="13" fillId="12" borderId="1" xfId="25" applyFill="1" applyBorder="1"/>
    <xf numFmtId="0" fontId="0" fillId="5" borderId="1" xfId="0" applyFill="1" applyBorder="1"/>
    <xf numFmtId="3" fontId="0" fillId="0" borderId="7" xfId="0" applyNumberFormat="1" applyBorder="1"/>
    <xf numFmtId="0" fontId="21" fillId="4" borderId="2" xfId="0" applyFont="1" applyFill="1" applyBorder="1" applyAlignment="1">
      <alignment horizontal="center"/>
    </xf>
    <xf numFmtId="0" fontId="9" fillId="12" borderId="1" xfId="25" applyFont="1" applyFill="1" applyBorder="1"/>
    <xf numFmtId="0" fontId="40" fillId="0" borderId="9" xfId="27" applyFill="1" applyBorder="1"/>
    <xf numFmtId="167" fontId="44" fillId="0" borderId="0" xfId="0" applyNumberFormat="1" applyFont="1"/>
    <xf numFmtId="168" fontId="47" fillId="4" borderId="0" xfId="13" applyNumberFormat="1" applyFont="1" applyFill="1"/>
    <xf numFmtId="168" fontId="47" fillId="4" borderId="0" xfId="13" applyNumberFormat="1" applyFont="1" applyFill="1" applyAlignment="1">
      <alignment horizontal="center"/>
    </xf>
    <xf numFmtId="168" fontId="47" fillId="4" borderId="0" xfId="13" applyNumberFormat="1" applyFont="1" applyFill="1" applyAlignment="1">
      <alignment horizontal="center" wrapText="1"/>
    </xf>
    <xf numFmtId="168" fontId="47" fillId="4" borderId="0" xfId="13" applyNumberFormat="1" applyFont="1" applyFill="1" applyAlignment="1">
      <alignment horizontal="right"/>
    </xf>
    <xf numFmtId="43" fontId="0" fillId="0" borderId="0" xfId="0" applyNumberFormat="1"/>
    <xf numFmtId="0" fontId="6" fillId="0" borderId="0" xfId="26" applyFont="1"/>
    <xf numFmtId="171" fontId="21" fillId="0" borderId="0" xfId="0" applyNumberFormat="1" applyFont="1" applyAlignment="1">
      <alignment horizontal="center"/>
    </xf>
    <xf numFmtId="0" fontId="20" fillId="7" borderId="0" xfId="0" applyFont="1" applyFill="1" applyAlignment="1">
      <alignment horizontal="center" wrapText="1"/>
    </xf>
    <xf numFmtId="168" fontId="20" fillId="13" borderId="1" xfId="13" applyNumberFormat="1" applyFont="1" applyFill="1" applyBorder="1"/>
    <xf numFmtId="4" fontId="20" fillId="0" borderId="0" xfId="0" quotePrefix="1" applyNumberFormat="1" applyFont="1"/>
    <xf numFmtId="167" fontId="20" fillId="0" borderId="0" xfId="13" applyFont="1" applyFill="1"/>
    <xf numFmtId="1" fontId="20" fillId="0" borderId="0" xfId="0" applyNumberFormat="1" applyFont="1" applyAlignment="1">
      <alignment horizontal="center"/>
    </xf>
    <xf numFmtId="10" fontId="12" fillId="0" borderId="0" xfId="26" applyNumberFormat="1"/>
    <xf numFmtId="0" fontId="19" fillId="14" borderId="0" xfId="14" applyFill="1"/>
    <xf numFmtId="0" fontId="37" fillId="14" borderId="0" xfId="14" applyFont="1" applyFill="1"/>
    <xf numFmtId="0" fontId="41" fillId="14" borderId="0" xfId="14" applyFont="1" applyFill="1"/>
    <xf numFmtId="0" fontId="41" fillId="14" borderId="1" xfId="14" applyFont="1" applyFill="1" applyBorder="1"/>
    <xf numFmtId="0" fontId="43" fillId="14" borderId="1" xfId="14" applyFont="1" applyFill="1" applyBorder="1" applyAlignment="1">
      <alignment horizontal="center"/>
    </xf>
    <xf numFmtId="3" fontId="41" fillId="14" borderId="1" xfId="14" applyNumberFormat="1" applyFont="1" applyFill="1" applyBorder="1"/>
    <xf numFmtId="3" fontId="41" fillId="14" borderId="0" xfId="14" applyNumberFormat="1" applyFont="1" applyFill="1"/>
    <xf numFmtId="0" fontId="19" fillId="14" borderId="0" xfId="14" applyFill="1" applyAlignment="1">
      <alignment wrapText="1"/>
    </xf>
    <xf numFmtId="0" fontId="43" fillId="14" borderId="0" xfId="14" applyFont="1" applyFill="1"/>
    <xf numFmtId="3" fontId="41" fillId="0" borderId="1" xfId="14" applyNumberFormat="1" applyFont="1" applyBorder="1"/>
    <xf numFmtId="167" fontId="20" fillId="0" borderId="1" xfId="13" applyFont="1" applyFill="1" applyBorder="1" applyAlignment="1">
      <alignment horizontal="center"/>
    </xf>
    <xf numFmtId="167" fontId="0" fillId="0" borderId="0" xfId="13" applyFont="1" applyFill="1"/>
    <xf numFmtId="169" fontId="39" fillId="0" borderId="0" xfId="12" applyNumberFormat="1" applyFont="1" applyFill="1" applyAlignment="1">
      <alignment horizontal="center" vertical="center"/>
    </xf>
    <xf numFmtId="1" fontId="12" fillId="10" borderId="1" xfId="26" applyNumberFormat="1" applyFill="1" applyBorder="1"/>
    <xf numFmtId="0" fontId="5" fillId="0" borderId="0" xfId="26" applyFont="1"/>
    <xf numFmtId="2" fontId="20" fillId="4" borderId="0" xfId="13" applyNumberFormat="1" applyFont="1" applyFill="1"/>
    <xf numFmtId="2" fontId="21" fillId="4" borderId="0" xfId="13" applyNumberFormat="1" applyFont="1" applyFill="1" applyAlignment="1">
      <alignment horizontal="center"/>
    </xf>
    <xf numFmtId="2" fontId="20" fillId="4" borderId="0" xfId="13" applyNumberFormat="1" applyFont="1" applyFill="1" applyAlignment="1">
      <alignment horizontal="center" wrapText="1"/>
    </xf>
    <xf numFmtId="2" fontId="20" fillId="4" borderId="0" xfId="13" applyNumberFormat="1" applyFont="1" applyFill="1" applyAlignment="1">
      <alignment horizontal="right"/>
    </xf>
    <xf numFmtId="2" fontId="20" fillId="4" borderId="0" xfId="0" applyNumberFormat="1" applyFont="1" applyFill="1"/>
    <xf numFmtId="2" fontId="21" fillId="4" borderId="0" xfId="0" applyNumberFormat="1" applyFont="1" applyFill="1" applyAlignment="1">
      <alignment horizontal="center"/>
    </xf>
    <xf numFmtId="2" fontId="20" fillId="4" borderId="0" xfId="0" applyNumberFormat="1" applyFont="1" applyFill="1" applyAlignment="1">
      <alignment horizontal="center" wrapText="1"/>
    </xf>
    <xf numFmtId="2" fontId="20" fillId="4" borderId="0" xfId="0" applyNumberFormat="1" applyFont="1" applyFill="1" applyAlignment="1">
      <alignment horizontal="right"/>
    </xf>
    <xf numFmtId="173" fontId="19" fillId="14" borderId="0" xfId="14" applyNumberFormat="1" applyFill="1"/>
    <xf numFmtId="0" fontId="4" fillId="14" borderId="0" xfId="14" applyFont="1" applyFill="1"/>
    <xf numFmtId="168" fontId="20" fillId="0" borderId="0" xfId="13" applyNumberFormat="1" applyFont="1" applyFill="1" applyAlignment="1">
      <alignment horizontal="right"/>
    </xf>
    <xf numFmtId="0" fontId="3" fillId="0" borderId="1" xfId="26" applyFont="1" applyBorder="1"/>
    <xf numFmtId="40" fontId="0" fillId="0" borderId="0" xfId="0" applyNumberFormat="1" applyAlignment="1">
      <alignment horizontal="right"/>
    </xf>
    <xf numFmtId="43" fontId="20" fillId="0" borderId="0" xfId="0" applyNumberFormat="1" applyFont="1"/>
    <xf numFmtId="168" fontId="20" fillId="6" borderId="1" xfId="0" applyNumberFormat="1" applyFont="1" applyFill="1" applyBorder="1"/>
    <xf numFmtId="3" fontId="21" fillId="6" borderId="1" xfId="0" applyNumberFormat="1" applyFont="1" applyFill="1" applyBorder="1" applyAlignment="1">
      <alignment horizontal="right" indent="1"/>
    </xf>
    <xf numFmtId="49" fontId="52" fillId="0" borderId="0" xfId="0" applyNumberFormat="1" applyFont="1" applyAlignment="1">
      <alignment horizontal="left"/>
    </xf>
    <xf numFmtId="0" fontId="52" fillId="0" borderId="0" xfId="0" applyFont="1"/>
    <xf numFmtId="167" fontId="52" fillId="0" borderId="0" xfId="13" applyFont="1" applyAlignment="1">
      <alignment horizontal="right"/>
    </xf>
    <xf numFmtId="167" fontId="52" fillId="0" borderId="0" xfId="13" applyFont="1" applyFill="1" applyAlignment="1">
      <alignment horizontal="right"/>
    </xf>
    <xf numFmtId="49" fontId="52" fillId="15" borderId="0" xfId="0" applyNumberFormat="1" applyFont="1" applyFill="1" applyAlignment="1">
      <alignment horizontal="left"/>
    </xf>
    <xf numFmtId="49" fontId="52" fillId="5" borderId="0" xfId="0" applyNumberFormat="1" applyFont="1" applyFill="1" applyAlignment="1">
      <alignment horizontal="left"/>
    </xf>
    <xf numFmtId="49" fontId="52" fillId="6" borderId="0" xfId="0" applyNumberFormat="1" applyFont="1" applyFill="1" applyAlignment="1">
      <alignment horizontal="left"/>
    </xf>
    <xf numFmtId="168" fontId="0" fillId="0" borderId="4" xfId="13" applyNumberFormat="1" applyFont="1" applyFill="1" applyBorder="1"/>
    <xf numFmtId="174" fontId="12" fillId="0" borderId="0" xfId="26" applyNumberFormat="1"/>
    <xf numFmtId="1" fontId="12" fillId="0" borderId="0" xfId="26" applyNumberFormat="1"/>
    <xf numFmtId="168" fontId="21" fillId="0" borderId="1" xfId="13" applyNumberFormat="1" applyFont="1" applyFill="1" applyBorder="1" applyAlignment="1">
      <alignment vertical="center" wrapText="1"/>
    </xf>
    <xf numFmtId="168" fontId="21" fillId="0" borderId="1" xfId="13" applyNumberFormat="1" applyFont="1" applyBorder="1" applyAlignment="1">
      <alignment vertical="center" wrapText="1"/>
    </xf>
    <xf numFmtId="0" fontId="2" fillId="12" borderId="1" xfId="25" applyFont="1" applyFill="1" applyBorder="1"/>
    <xf numFmtId="0" fontId="2" fillId="0" borderId="1" xfId="26" applyFont="1" applyBorder="1"/>
    <xf numFmtId="0" fontId="2" fillId="0" borderId="1" xfId="25" applyFont="1" applyBorder="1"/>
    <xf numFmtId="2" fontId="54" fillId="4" borderId="0" xfId="13" applyNumberFormat="1" applyFont="1" applyFill="1"/>
    <xf numFmtId="2" fontId="54" fillId="4" borderId="0" xfId="0" applyNumberFormat="1" applyFont="1" applyFill="1"/>
    <xf numFmtId="0" fontId="1" fillId="0" borderId="0" xfId="26" applyFont="1"/>
    <xf numFmtId="3" fontId="0" fillId="0" borderId="7" xfId="0" applyNumberForma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3" fontId="20" fillId="0" borderId="7" xfId="0" applyNumberFormat="1" applyFont="1" applyBorder="1"/>
    <xf numFmtId="3" fontId="0" fillId="0" borderId="0" xfId="0" applyNumberFormat="1" applyFill="1"/>
    <xf numFmtId="0" fontId="55" fillId="4" borderId="0" xfId="0" applyFont="1" applyFill="1"/>
    <xf numFmtId="3" fontId="55" fillId="4" borderId="0" xfId="0" applyNumberFormat="1" applyFont="1" applyFill="1" applyAlignment="1">
      <alignment horizontal="right"/>
    </xf>
    <xf numFmtId="3" fontId="55" fillId="4" borderId="0" xfId="0" applyNumberFormat="1" applyFont="1" applyFill="1"/>
    <xf numFmtId="167" fontId="20" fillId="0" borderId="1" xfId="13" applyFont="1" applyFill="1" applyBorder="1"/>
    <xf numFmtId="175" fontId="0" fillId="4" borderId="1" xfId="13" applyNumberFormat="1" applyFont="1" applyFill="1" applyBorder="1"/>
    <xf numFmtId="0" fontId="20" fillId="4" borderId="1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 wrapText="1"/>
    </xf>
    <xf numFmtId="0" fontId="20" fillId="4" borderId="21" xfId="0" applyFont="1" applyFill="1" applyBorder="1" applyAlignment="1">
      <alignment horizontal="center" wrapText="1"/>
    </xf>
    <xf numFmtId="0" fontId="20" fillId="4" borderId="18" xfId="0" applyFont="1" applyFill="1" applyBorder="1" applyAlignment="1">
      <alignment horizontal="center" wrapText="1"/>
    </xf>
    <xf numFmtId="0" fontId="20" fillId="4" borderId="23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8" fontId="0" fillId="4" borderId="1" xfId="13" applyNumberFormat="1" applyFont="1" applyFill="1" applyBorder="1" applyAlignment="1">
      <alignment horizontal="center"/>
    </xf>
    <xf numFmtId="3" fontId="0" fillId="4" borderId="1" xfId="13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2" fillId="14" borderId="1" xfId="14" applyFont="1" applyFill="1" applyBorder="1"/>
    <xf numFmtId="0" fontId="0" fillId="14" borderId="1" xfId="0" applyFill="1" applyBorder="1"/>
    <xf numFmtId="0" fontId="41" fillId="14" borderId="2" xfId="14" applyFont="1" applyFill="1" applyBorder="1"/>
    <xf numFmtId="0" fontId="41" fillId="14" borderId="8" xfId="14" applyFont="1" applyFill="1" applyBorder="1"/>
    <xf numFmtId="0" fontId="42" fillId="14" borderId="2" xfId="14" applyFont="1" applyFill="1" applyBorder="1"/>
    <xf numFmtId="0" fontId="42" fillId="14" borderId="9" xfId="14" applyFont="1" applyFill="1" applyBorder="1"/>
    <xf numFmtId="0" fontId="42" fillId="14" borderId="8" xfId="14" applyFont="1" applyFill="1" applyBorder="1"/>
  </cellXfs>
  <cellStyles count="46">
    <cellStyle name="Comma" xfId="36" xr:uid="{00000000-0005-0000-0000-000000000000}"/>
    <cellStyle name="Comma [0]" xfId="37" xr:uid="{00000000-0005-0000-0000-000001000000}"/>
    <cellStyle name="Currency" xfId="34" xr:uid="{00000000-0005-0000-0000-000002000000}"/>
    <cellStyle name="Currency [0]" xfId="35" xr:uid="{00000000-0005-0000-0000-000003000000}"/>
    <cellStyle name="Hyperkobling" xfId="27" builtinId="8"/>
    <cellStyle name="Inndata" xfId="24" builtinId="20"/>
    <cellStyle name="Komma" xfId="13" builtinId="3"/>
    <cellStyle name="Komma 2" xfId="41" xr:uid="{00000000-0005-0000-0000-000007000000}"/>
    <cellStyle name="Komma 4" xfId="45" xr:uid="{1EDC7CE6-E15B-4294-88BF-D8D2B169759D}"/>
    <cellStyle name="Normal" xfId="0" builtinId="0"/>
    <cellStyle name="Normal 10" xfId="25" xr:uid="{00000000-0005-0000-0000-000009000000}"/>
    <cellStyle name="Normal 10 2" xfId="26" xr:uid="{00000000-0005-0000-0000-00000A000000}"/>
    <cellStyle name="Normal 10_Akontoutbet" xfId="28" xr:uid="{00000000-0005-0000-0000-00000B000000}"/>
    <cellStyle name="Normal 11" xfId="31" xr:uid="{00000000-0005-0000-0000-00000C000000}"/>
    <cellStyle name="Normal 12" xfId="32" xr:uid="{00000000-0005-0000-0000-00000D000000}"/>
    <cellStyle name="Normal 13" xfId="39" xr:uid="{00000000-0005-0000-0000-00000E000000}"/>
    <cellStyle name="Normal 14" xfId="43" xr:uid="{00000000-0005-0000-0000-00000F000000}"/>
    <cellStyle name="Normal 2" xfId="1" xr:uid="{00000000-0005-0000-0000-000010000000}"/>
    <cellStyle name="Normal 2 2" xfId="2" xr:uid="{00000000-0005-0000-0000-000011000000}"/>
    <cellStyle name="Normal 2 3" xfId="3" xr:uid="{00000000-0005-0000-0000-000012000000}"/>
    <cellStyle name="Normal 2 4" xfId="4" xr:uid="{00000000-0005-0000-0000-000013000000}"/>
    <cellStyle name="Normal 2 5" xfId="5" xr:uid="{00000000-0005-0000-0000-000014000000}"/>
    <cellStyle name="Normal 2 6" xfId="44" xr:uid="{577C30E3-DBFB-4616-B2EF-26D7D655E055}"/>
    <cellStyle name="Normal 3" xfId="14" xr:uid="{00000000-0005-0000-0000-000015000000}"/>
    <cellStyle name="Normal 3 2" xfId="6" xr:uid="{00000000-0005-0000-0000-000016000000}"/>
    <cellStyle name="Normal 3 2 2" xfId="38" xr:uid="{00000000-0005-0000-0000-000017000000}"/>
    <cellStyle name="Normal 3 3" xfId="7" xr:uid="{00000000-0005-0000-0000-000018000000}"/>
    <cellStyle name="Normal 3 4" xfId="8" xr:uid="{00000000-0005-0000-0000-000019000000}"/>
    <cellStyle name="Normal 3 5" xfId="9" xr:uid="{00000000-0005-0000-0000-00001A000000}"/>
    <cellStyle name="Normal 3_Akontoutbet" xfId="29" xr:uid="{00000000-0005-0000-0000-00001B000000}"/>
    <cellStyle name="Normal 4" xfId="10" xr:uid="{00000000-0005-0000-0000-00001C000000}"/>
    <cellStyle name="Normal 5" xfId="11" xr:uid="{00000000-0005-0000-0000-00001D000000}"/>
    <cellStyle name="Normal 5 2" xfId="42" xr:uid="{00000000-0005-0000-0000-00001E000000}"/>
    <cellStyle name="Normal 6" xfId="15" xr:uid="{00000000-0005-0000-0000-00001F000000}"/>
    <cellStyle name="Normal 7" xfId="16" xr:uid="{00000000-0005-0000-0000-000020000000}"/>
    <cellStyle name="Normal 8" xfId="17" xr:uid="{00000000-0005-0000-0000-000021000000}"/>
    <cellStyle name="Normal 8 2" xfId="20" xr:uid="{00000000-0005-0000-0000-000022000000}"/>
    <cellStyle name="Normal 8_Akontoutbet" xfId="30" xr:uid="{00000000-0005-0000-0000-000023000000}"/>
    <cellStyle name="Normal 9" xfId="19" xr:uid="{00000000-0005-0000-0000-000024000000}"/>
    <cellStyle name="Percent" xfId="33" xr:uid="{00000000-0005-0000-0000-000028000000}"/>
    <cellStyle name="Prosent" xfId="12" builtinId="5"/>
    <cellStyle name="Prosent 2" xfId="22" xr:uid="{00000000-0005-0000-0000-00002A000000}"/>
    <cellStyle name="Tusenskille [0] 2" xfId="21" xr:uid="{00000000-0005-0000-0000-00002B000000}"/>
    <cellStyle name="Tusenskille 2" xfId="18" xr:uid="{00000000-0005-0000-0000-00002C000000}"/>
    <cellStyle name="Tusenskille 2 2" xfId="23" xr:uid="{00000000-0005-0000-0000-00002D000000}"/>
    <cellStyle name="Tusenskille 3" xfId="40" xr:uid="{00000000-0005-0000-0000-00002E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4CDC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put, kommunale barnehager'!A1"/><Relationship Id="rId7" Type="http://schemas.openxmlformats.org/officeDocument/2006/relationships/hyperlink" Target="#Pensjon!A1"/><Relationship Id="rId2" Type="http://schemas.openxmlformats.org/officeDocument/2006/relationships/image" Target="../media/image1.png"/><Relationship Id="rId1" Type="http://schemas.openxmlformats.org/officeDocument/2006/relationships/hyperlink" Target="https://upload.wikimedia.org/wikipedia/commons/6/65/Sandefjord_komm_2017.svg" TargetMode="External"/><Relationship Id="rId6" Type="http://schemas.openxmlformats.org/officeDocument/2006/relationships/hyperlink" Target="#Satser!A1"/><Relationship Id="rId5" Type="http://schemas.openxmlformats.org/officeDocument/2006/relationships/hyperlink" Target="#Udir!A1"/><Relationship Id="rId4" Type="http://schemas.openxmlformats.org/officeDocument/2006/relationships/hyperlink" Target="#'Beregning, komm.tilskudd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276000</xdr:colOff>
      <xdr:row>5</xdr:row>
      <xdr:rowOff>73358</xdr:rowOff>
    </xdr:to>
    <xdr:sp macro="[0]!Macro2" textlink="">
      <xdr:nvSpPr>
        <xdr:cNvPr id="3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96500" y="190500"/>
          <a:ext cx="1800000" cy="72105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76200</xdr:rowOff>
    </xdr:from>
    <xdr:to>
      <xdr:col>13</xdr:col>
      <xdr:colOff>438150</xdr:colOff>
      <xdr:row>16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3400" y="561975"/>
          <a:ext cx="9191625" cy="20859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nb-NO" sz="2000">
            <a:latin typeface="Arial" pitchFamily="34" charset="0"/>
            <a:cs typeface="Arial" pitchFamily="34" charset="0"/>
          </a:endParaRPr>
        </a:p>
        <a:p>
          <a:pPr lvl="0" algn="ctr"/>
          <a:r>
            <a:rPr lang="nb-NO" sz="2000">
              <a:latin typeface="Arial" pitchFamily="34" charset="0"/>
              <a:cs typeface="Arial" pitchFamily="34" charset="0"/>
            </a:rPr>
            <a:t>Beregningsmodell</a:t>
          </a:r>
          <a:r>
            <a:rPr lang="nb-NO" sz="2000" baseline="0">
              <a:latin typeface="Arial" pitchFamily="34" charset="0"/>
              <a:cs typeface="Arial" pitchFamily="34" charset="0"/>
            </a:rPr>
            <a:t> for likeverdig behandling, </a:t>
          </a:r>
          <a:br>
            <a:rPr lang="nb-NO" sz="2000" baseline="0">
              <a:latin typeface="Arial" pitchFamily="34" charset="0"/>
              <a:cs typeface="Arial" pitchFamily="34" charset="0"/>
            </a:rPr>
          </a:br>
          <a:r>
            <a:rPr lang="nb-NO" sz="2000" baseline="0">
              <a:latin typeface="Arial" pitchFamily="34" charset="0"/>
              <a:cs typeface="Arial" pitchFamily="34" charset="0"/>
            </a:rPr>
            <a:t>tildeling av offentlig tilskudd til private</a:t>
          </a:r>
          <a:br>
            <a:rPr lang="nb-NO" sz="2000" baseline="0">
              <a:latin typeface="Arial" pitchFamily="34" charset="0"/>
              <a:cs typeface="Arial" pitchFamily="34" charset="0"/>
            </a:rPr>
          </a:br>
          <a:r>
            <a:rPr lang="nb-NO" sz="2000" baseline="0">
              <a:latin typeface="Arial" pitchFamily="34" charset="0"/>
              <a:cs typeface="Arial" pitchFamily="34" charset="0"/>
            </a:rPr>
            <a:t>barnehager i Sandefjord kommune</a:t>
          </a:r>
        </a:p>
        <a:p>
          <a:endParaRPr lang="nb-NO" sz="1100"/>
        </a:p>
      </xdr:txBody>
    </xdr:sp>
    <xdr:clientData/>
  </xdr:twoCellAnchor>
  <xdr:twoCellAnchor editAs="oneCell">
    <xdr:from>
      <xdr:col>11</xdr:col>
      <xdr:colOff>178593</xdr:colOff>
      <xdr:row>5</xdr:row>
      <xdr:rowOff>46586</xdr:rowOff>
    </xdr:from>
    <xdr:to>
      <xdr:col>12</xdr:col>
      <xdr:colOff>712469</xdr:colOff>
      <xdr:row>14</xdr:row>
      <xdr:rowOff>26131</xdr:rowOff>
    </xdr:to>
    <xdr:pic>
      <xdr:nvPicPr>
        <xdr:cNvPr id="8634" name="Picture 1">
          <a:hlinkClick xmlns:r="http://schemas.openxmlformats.org/officeDocument/2006/relationships" r:id="rId1" tooltip="Våpen"/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6718" y="856211"/>
          <a:ext cx="1240631" cy="1431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17</xdr:row>
      <xdr:rowOff>95250</xdr:rowOff>
    </xdr:from>
    <xdr:to>
      <xdr:col>13</xdr:col>
      <xdr:colOff>466725</xdr:colOff>
      <xdr:row>19</xdr:row>
      <xdr:rowOff>59531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3875" y="2847975"/>
          <a:ext cx="9229725" cy="28813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nb-NO" sz="2000">
            <a:latin typeface="Arial" pitchFamily="34" charset="0"/>
            <a:cs typeface="Arial" pitchFamily="34" charset="0"/>
          </a:endParaRPr>
        </a:p>
        <a:p>
          <a:endParaRPr lang="nb-NO" sz="1100"/>
        </a:p>
      </xdr:txBody>
    </xdr:sp>
    <xdr:clientData/>
  </xdr:twoCellAnchor>
  <xdr:twoCellAnchor>
    <xdr:from>
      <xdr:col>1</xdr:col>
      <xdr:colOff>57149</xdr:colOff>
      <xdr:row>20</xdr:row>
      <xdr:rowOff>95250</xdr:rowOff>
    </xdr:from>
    <xdr:to>
      <xdr:col>3</xdr:col>
      <xdr:colOff>277949</xdr:colOff>
      <xdr:row>25</xdr:row>
      <xdr:rowOff>5625</xdr:rowOff>
    </xdr:to>
    <xdr:sp macro="[0]!Macro1" textlink="">
      <xdr:nvSpPr>
        <xdr:cNvPr id="5" name="Bevel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66749" y="3333750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nb-NO" sz="1100"/>
            <a:t>Input,</a:t>
          </a:r>
        </a:p>
        <a:p>
          <a:pPr algn="ctr"/>
          <a:r>
            <a:rPr lang="nb-NO" sz="1100"/>
            <a:t> kommunale barnehager</a:t>
          </a:r>
        </a:p>
      </xdr:txBody>
    </xdr:sp>
    <xdr:clientData/>
  </xdr:twoCellAnchor>
  <xdr:twoCellAnchor>
    <xdr:from>
      <xdr:col>3</xdr:col>
      <xdr:colOff>400050</xdr:colOff>
      <xdr:row>20</xdr:row>
      <xdr:rowOff>95250</xdr:rowOff>
    </xdr:from>
    <xdr:to>
      <xdr:col>6</xdr:col>
      <xdr:colOff>11250</xdr:colOff>
      <xdr:row>25</xdr:row>
      <xdr:rowOff>5625</xdr:rowOff>
    </xdr:to>
    <xdr:sp macro="[0]!Macro3" textlink="">
      <xdr:nvSpPr>
        <xdr:cNvPr id="6" name="Bevel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28850" y="3333750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>
              <a:solidFill>
                <a:sysClr val="windowText" lastClr="000000"/>
              </a:solidFill>
            </a:rPr>
            <a:t>Beregning kommunalt tilskudd</a:t>
          </a:r>
        </a:p>
      </xdr:txBody>
    </xdr:sp>
    <xdr:clientData/>
  </xdr:twoCellAnchor>
  <xdr:twoCellAnchor>
    <xdr:from>
      <xdr:col>6</xdr:col>
      <xdr:colOff>161925</xdr:colOff>
      <xdr:row>20</xdr:row>
      <xdr:rowOff>104775</xdr:rowOff>
    </xdr:from>
    <xdr:to>
      <xdr:col>8</xdr:col>
      <xdr:colOff>382725</xdr:colOff>
      <xdr:row>25</xdr:row>
      <xdr:rowOff>15150</xdr:rowOff>
    </xdr:to>
    <xdr:sp macro="[0]!Macro5" textlink="">
      <xdr:nvSpPr>
        <xdr:cNvPr id="7" name="Bevel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19525" y="3343275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>
              <a:solidFill>
                <a:sysClr val="windowText" lastClr="000000"/>
              </a:solidFill>
            </a:rPr>
            <a:t>Pensjonsandel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i</a:t>
          </a:r>
          <a:r>
            <a:rPr lang="nb-NO" sz="1100" baseline="0">
              <a:solidFill>
                <a:sysClr val="windowText" lastClr="000000"/>
              </a:solidFill>
            </a:rPr>
            <a:t> henhold til Udirs oppsett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514350</xdr:colOff>
      <xdr:row>20</xdr:row>
      <xdr:rowOff>104775</xdr:rowOff>
    </xdr:from>
    <xdr:to>
      <xdr:col>11</xdr:col>
      <xdr:colOff>125550</xdr:colOff>
      <xdr:row>25</xdr:row>
      <xdr:rowOff>15150</xdr:rowOff>
    </xdr:to>
    <xdr:sp macro="[0]!Macro7" textlink="">
      <xdr:nvSpPr>
        <xdr:cNvPr id="8" name="Bevel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91150" y="3343275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>
              <a:solidFill>
                <a:sysClr val="windowText" lastClr="000000"/>
              </a:solidFill>
            </a:rPr>
            <a:t>Gjeldende tilskuddssatser</a:t>
          </a:r>
        </a:p>
      </xdr:txBody>
    </xdr:sp>
    <xdr:clientData/>
  </xdr:twoCellAnchor>
  <xdr:twoCellAnchor>
    <xdr:from>
      <xdr:col>11</xdr:col>
      <xdr:colOff>228600</xdr:colOff>
      <xdr:row>20</xdr:row>
      <xdr:rowOff>95249</xdr:rowOff>
    </xdr:from>
    <xdr:to>
      <xdr:col>13</xdr:col>
      <xdr:colOff>449400</xdr:colOff>
      <xdr:row>25</xdr:row>
      <xdr:rowOff>5624</xdr:rowOff>
    </xdr:to>
    <xdr:sp macro="[0]!Macro9" textlink="">
      <xdr:nvSpPr>
        <xdr:cNvPr id="9" name="Bevel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934200" y="3333749"/>
          <a:ext cx="1440000" cy="720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solidFill>
                <a:sysClr val="windowText" lastClr="000000"/>
              </a:solidFill>
              <a:effectLst/>
            </a:rPr>
            <a:t>Pensjonspåslag</a:t>
          </a:r>
          <a:r>
            <a:rPr lang="nb-NO" baseline="0">
              <a:solidFill>
                <a:sysClr val="windowText" lastClr="000000"/>
              </a:solidFill>
              <a:effectLst/>
            </a:rPr>
            <a:t> 13% pluss arb.g.avg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1914300</xdr:colOff>
      <xdr:row>2</xdr:row>
      <xdr:rowOff>158025</xdr:rowOff>
    </xdr:to>
    <xdr:sp macro="[0]!Macro2" textlink="">
      <xdr:nvSpPr>
        <xdr:cNvPr id="6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4300" y="114300"/>
          <a:ext cx="1800000" cy="720000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hovedsidenKr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152399</xdr:rowOff>
    </xdr:from>
    <xdr:to>
      <xdr:col>0</xdr:col>
      <xdr:colOff>1952400</xdr:colOff>
      <xdr:row>3</xdr:row>
      <xdr:rowOff>34199</xdr:rowOff>
    </xdr:to>
    <xdr:sp macro="[0]!Macro6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2400" y="152399"/>
          <a:ext cx="1800000" cy="720000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forsiden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306916</xdr:colOff>
      <xdr:row>0</xdr:row>
      <xdr:rowOff>0</xdr:rowOff>
    </xdr:from>
    <xdr:to>
      <xdr:col>12</xdr:col>
      <xdr:colOff>824216</xdr:colOff>
      <xdr:row>4</xdr:row>
      <xdr:rowOff>150617</xdr:rowOff>
    </xdr:to>
    <xdr:sp macro="[0]!Macro10" textlink="">
      <xdr:nvSpPr>
        <xdr:cNvPr id="3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127B8-ACE9-4311-A259-4AAB34550C13}"/>
            </a:ext>
          </a:extLst>
        </xdr:cNvPr>
        <xdr:cNvSpPr/>
      </xdr:nvSpPr>
      <xdr:spPr>
        <a:xfrm>
          <a:off x="10382249" y="0"/>
          <a:ext cx="1406300" cy="722117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forsiden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20</xdr:col>
      <xdr:colOff>276000</xdr:colOff>
      <xdr:row>12</xdr:row>
      <xdr:rowOff>92408</xdr:rowOff>
    </xdr:to>
    <xdr:sp macro="[0]!Macro2" textlink="">
      <xdr:nvSpPr>
        <xdr:cNvPr id="2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828400-10D0-4EAB-9C0E-A465BA64B143}"/>
            </a:ext>
          </a:extLst>
        </xdr:cNvPr>
        <xdr:cNvSpPr/>
      </xdr:nvSpPr>
      <xdr:spPr>
        <a:xfrm>
          <a:off x="18449925" y="1162050"/>
          <a:ext cx="1800000" cy="104490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13</xdr:col>
      <xdr:colOff>276000</xdr:colOff>
      <xdr:row>5</xdr:row>
      <xdr:rowOff>149558</xdr:rowOff>
    </xdr:to>
    <xdr:sp macro="[0]!Macro2" textlink="">
      <xdr:nvSpPr>
        <xdr:cNvPr id="3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791825" y="381000"/>
          <a:ext cx="1800000" cy="72105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7</xdr:col>
      <xdr:colOff>276000</xdr:colOff>
      <xdr:row>4</xdr:row>
      <xdr:rowOff>149558</xdr:rowOff>
    </xdr:to>
    <xdr:sp macro="[0]!Macro2" textlink="">
      <xdr:nvSpPr>
        <xdr:cNvPr id="3" name="Bev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00575" y="381000"/>
          <a:ext cx="1800000" cy="721058"/>
        </a:xfrm>
        <a:prstGeom prst="bevel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nb-NO" sz="1100"/>
            <a:t>Til hovedsiden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.sandefjord.kommune.no\administrasjon\OK\Administrasjon%20oppvekst%20og%20kunnskap\21%20Administrasjon\2017\Regnskap\&#197;rsoppgj&#248;r\R&#248;d%20bok\&#197;rsregnskap%202017%20hele%20kommunen%20utlistet%20201805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sjon\21%20Administrasjon\2013\Budsjett\1.tertial%20og%20rammesak\Elevtallsendr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R\My%20Documents\2006\SANDEFJORD%20KOMMUNE\Ressursmodell%20v&#229;r%202006\Eksempeldokumentasjon\SANDNES_Modell%20v10b%20inkl%20oppdatert%20elevgrunnlag%20(ikke%20beskyttet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2%20Skole\&#216;konomi\Ny%20ressursmodell\Ressursmodell%20Sandefjord%20kommune%20v1.2%20-%20f&#248;rste%20kj&#248;ring%2013.10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Regnskap hittil i år"/>
      <sheetName val="Prosjekt"/>
      <sheetName val="Objekt"/>
      <sheetName val="Kommunale barnehager felles"/>
      <sheetName val="Vaktmestertjenesten"/>
      <sheetName val="Obj kom bhg"/>
      <sheetName val="__parameters"/>
    </sheetNames>
    <sheetDataSet>
      <sheetData sheetId="0">
        <row r="3">
          <cell r="K3">
            <v>1499075.39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e elevtall"/>
      <sheetName val="FORUTSETNINGER"/>
      <sheetName val="Budendr-i-aar"/>
      <sheetName val="Budendr-i-aar-LTB"/>
      <sheetName val="LTB ufordelt endring 2-4"/>
      <sheetName val="LTB ufordelt endring 2-4 (2)"/>
      <sheetName val="Ark1"/>
    </sheetNames>
    <sheetDataSet>
      <sheetData sheetId="0">
        <row r="65">
          <cell r="E65">
            <v>0</v>
          </cell>
        </row>
      </sheetData>
      <sheetData sheetId="1">
        <row r="29">
          <cell r="B29">
            <v>0.1</v>
          </cell>
          <cell r="C29">
            <v>0.1</v>
          </cell>
          <cell r="D29">
            <v>0.1</v>
          </cell>
          <cell r="E29">
            <v>0.1</v>
          </cell>
          <cell r="F29">
            <v>0.1</v>
          </cell>
        </row>
        <row r="30">
          <cell r="B30">
            <v>0.14099999999999999</v>
          </cell>
          <cell r="C30">
            <v>0.14099999999999999</v>
          </cell>
          <cell r="D30">
            <v>0.14099999999999999</v>
          </cell>
          <cell r="E30">
            <v>0.14099999999999999</v>
          </cell>
          <cell r="F30">
            <v>0.14099999999999999</v>
          </cell>
        </row>
        <row r="31">
          <cell r="B31">
            <v>0</v>
          </cell>
          <cell r="C31">
            <v>6.4999999999999997E-3</v>
          </cell>
          <cell r="D31">
            <v>6.4999999999999997E-3</v>
          </cell>
          <cell r="E31">
            <v>6.4999999999999997E-3</v>
          </cell>
          <cell r="F31">
            <v>6.4999999999999997E-3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 (2)"/>
      <sheetName val="Hovedmeny"/>
      <sheetName val="Veiledning"/>
      <sheetName val="Hjelpeark"/>
      <sheetName val="Tildelingsfaktorer"/>
      <sheetName val="Manuell tildeling"/>
      <sheetName val="Uttrekk SATS"/>
      <sheetName val="Uttrekk senior_1"/>
      <sheetName val="Uttrekk senior_2"/>
      <sheetName val="MR Ant elever"/>
      <sheetName val="MR senioransatte"/>
      <sheetName val="Tildeling"/>
      <sheetName val="Simulering"/>
      <sheetName val="Totalrapport"/>
      <sheetName val="Aspe"/>
      <sheetName val="Aust"/>
      <sheetName val="Boga"/>
      <sheetName val="Figg"/>
      <sheetName val="Gand"/>
      <sheetName val="Gisk"/>
      <sheetName val="Hana"/>
      <sheetName val="Homm"/>
      <sheetName val="Høle"/>
      <sheetName val="Høyl"/>
      <sheetName val="Igle"/>
      <sheetName val="Kyrk"/>
      <sheetName val="Lham"/>
      <sheetName val="Lura"/>
      <sheetName val="Malm"/>
      <sheetName val="Maud"/>
      <sheetName val="Pors"/>
      <sheetName val="Risk"/>
      <sheetName val="Sand"/>
      <sheetName val="Skei"/>
      <sheetName val="Smea"/>
      <sheetName val="Soma"/>
      <sheetName val="Stan"/>
      <sheetName val="Svil"/>
      <sheetName val="Sørb"/>
      <sheetName val="Tron"/>
      <sheetName val="Vatn"/>
      <sheetName val="Øyga"/>
      <sheetName val="Alto"/>
      <sheetName val="Ny 1"/>
      <sheetName val="Ny 2"/>
      <sheetName val="Ny 3"/>
    </sheetNames>
    <sheetDataSet>
      <sheetData sheetId="0"/>
      <sheetData sheetId="1"/>
      <sheetData sheetId="2"/>
      <sheetData sheetId="3"/>
      <sheetData sheetId="4">
        <row r="4">
          <cell r="C4">
            <v>451545</v>
          </cell>
          <cell r="G4">
            <v>26</v>
          </cell>
        </row>
        <row r="6">
          <cell r="G6">
            <v>23.01</v>
          </cell>
        </row>
        <row r="27">
          <cell r="C27">
            <v>18</v>
          </cell>
        </row>
        <row r="30">
          <cell r="C30" t="str">
            <v>Aspe</v>
          </cell>
          <cell r="D30" t="str">
            <v>Aust</v>
          </cell>
          <cell r="E30" t="str">
            <v>Boga</v>
          </cell>
          <cell r="F30" t="str">
            <v>Figg</v>
          </cell>
          <cell r="G30" t="str">
            <v>Gand</v>
          </cell>
          <cell r="H30" t="str">
            <v>Gisk</v>
          </cell>
          <cell r="I30" t="str">
            <v>Hana</v>
          </cell>
          <cell r="J30" t="str">
            <v>Homm</v>
          </cell>
          <cell r="K30" t="str">
            <v>Høle</v>
          </cell>
          <cell r="L30" t="str">
            <v>Høyl</v>
          </cell>
          <cell r="M30" t="str">
            <v>Igle</v>
          </cell>
          <cell r="N30" t="str">
            <v>Kyrk</v>
          </cell>
          <cell r="O30" t="str">
            <v>Lham</v>
          </cell>
          <cell r="P30" t="str">
            <v>Lura</v>
          </cell>
          <cell r="Q30" t="str">
            <v>Malm</v>
          </cell>
          <cell r="R30" t="str">
            <v>Maud</v>
          </cell>
          <cell r="S30" t="str">
            <v>Pors</v>
          </cell>
          <cell r="T30" t="str">
            <v>Risk</v>
          </cell>
          <cell r="U30" t="str">
            <v>Sand</v>
          </cell>
          <cell r="V30" t="str">
            <v>Skei</v>
          </cell>
          <cell r="W30" t="str">
            <v>Smea</v>
          </cell>
          <cell r="X30" t="str">
            <v>Soma</v>
          </cell>
          <cell r="Y30" t="str">
            <v>Stan</v>
          </cell>
          <cell r="Z30" t="str">
            <v>Svil</v>
          </cell>
          <cell r="AA30" t="str">
            <v>Sørb</v>
          </cell>
          <cell r="AB30" t="str">
            <v>Tron</v>
          </cell>
          <cell r="AC30" t="str">
            <v>Vatn</v>
          </cell>
          <cell r="AD30" t="str">
            <v>Øyga</v>
          </cell>
          <cell r="AE30" t="str">
            <v>Alto</v>
          </cell>
        </row>
        <row r="31">
          <cell r="B31" t="str">
            <v>Antall hele plasser SFO</v>
          </cell>
          <cell r="C31">
            <v>60.4</v>
          </cell>
          <cell r="D31">
            <v>75.8</v>
          </cell>
          <cell r="E31">
            <v>102</v>
          </cell>
          <cell r="F31">
            <v>39</v>
          </cell>
          <cell r="G31">
            <v>67.2</v>
          </cell>
          <cell r="I31">
            <v>58</v>
          </cell>
          <cell r="J31">
            <v>36</v>
          </cell>
          <cell r="K31">
            <v>18</v>
          </cell>
          <cell r="M31">
            <v>89.2</v>
          </cell>
          <cell r="N31">
            <v>43.8</v>
          </cell>
          <cell r="P31">
            <v>82</v>
          </cell>
          <cell r="Q31">
            <v>7.6</v>
          </cell>
          <cell r="R31">
            <v>29.6</v>
          </cell>
          <cell r="S31">
            <v>77.8</v>
          </cell>
          <cell r="U31">
            <v>99.8</v>
          </cell>
          <cell r="W31">
            <v>56</v>
          </cell>
          <cell r="X31">
            <v>18</v>
          </cell>
          <cell r="Y31">
            <v>88.6</v>
          </cell>
          <cell r="Z31">
            <v>16.8</v>
          </cell>
          <cell r="AA31">
            <v>44</v>
          </cell>
          <cell r="AB31">
            <v>113.4</v>
          </cell>
          <cell r="AC31">
            <v>34.6</v>
          </cell>
        </row>
        <row r="32">
          <cell r="B32" t="str">
            <v>Antall funksjonshemmede SFO</v>
          </cell>
          <cell r="C32">
            <v>1</v>
          </cell>
          <cell r="E32">
            <v>3</v>
          </cell>
          <cell r="G32">
            <v>3</v>
          </cell>
          <cell r="I32">
            <v>2</v>
          </cell>
          <cell r="J32">
            <v>2</v>
          </cell>
          <cell r="M32">
            <v>1</v>
          </cell>
          <cell r="N32">
            <v>1</v>
          </cell>
          <cell r="P32">
            <v>1</v>
          </cell>
          <cell r="R32">
            <v>1</v>
          </cell>
          <cell r="S32">
            <v>2</v>
          </cell>
          <cell r="U32">
            <v>2</v>
          </cell>
          <cell r="Y32">
            <v>4</v>
          </cell>
          <cell r="Z32">
            <v>1</v>
          </cell>
          <cell r="AB32">
            <v>30</v>
          </cell>
          <cell r="AC32">
            <v>1</v>
          </cell>
        </row>
        <row r="33">
          <cell r="B33" t="str">
            <v>Egenbetaling SFO</v>
          </cell>
          <cell r="C33">
            <v>-1223000</v>
          </cell>
          <cell r="D33">
            <v>-1534000</v>
          </cell>
          <cell r="E33">
            <v>-2065000</v>
          </cell>
          <cell r="F33">
            <v>-789000</v>
          </cell>
          <cell r="G33">
            <v>-1360000</v>
          </cell>
          <cell r="I33">
            <v>-1174000</v>
          </cell>
          <cell r="J33">
            <v>-729000</v>
          </cell>
          <cell r="K33">
            <v>-364000</v>
          </cell>
          <cell r="M33">
            <v>-1805000</v>
          </cell>
          <cell r="N33">
            <v>-887000</v>
          </cell>
          <cell r="P33">
            <v>-1660000</v>
          </cell>
          <cell r="Q33">
            <v>-154000</v>
          </cell>
          <cell r="R33">
            <v>-599000</v>
          </cell>
          <cell r="S33">
            <v>-1575000</v>
          </cell>
          <cell r="U33">
            <v>-2020000</v>
          </cell>
          <cell r="W33">
            <v>-1133000</v>
          </cell>
          <cell r="X33">
            <v>-364000</v>
          </cell>
          <cell r="Y33">
            <v>-1793000</v>
          </cell>
          <cell r="Z33">
            <v>-340000</v>
          </cell>
          <cell r="AA33">
            <v>-891000</v>
          </cell>
          <cell r="AB33">
            <v>-2295000</v>
          </cell>
          <cell r="AC33">
            <v>-700000</v>
          </cell>
        </row>
        <row r="34">
          <cell r="B34" t="str">
            <v>Ekstra ferieuke ansatte over 60 år</v>
          </cell>
        </row>
        <row r="35">
          <cell r="C35" t="str">
            <v>Aspe</v>
          </cell>
          <cell r="D35" t="str">
            <v>Aust</v>
          </cell>
          <cell r="E35" t="str">
            <v>Boga</v>
          </cell>
          <cell r="F35" t="str">
            <v>Figg</v>
          </cell>
          <cell r="G35" t="str">
            <v>Gand</v>
          </cell>
          <cell r="H35" t="str">
            <v>Gisk</v>
          </cell>
          <cell r="I35" t="str">
            <v>Hana</v>
          </cell>
          <cell r="J35" t="str">
            <v>Homm</v>
          </cell>
          <cell r="K35" t="str">
            <v>Høle</v>
          </cell>
          <cell r="L35" t="str">
            <v>Høyl</v>
          </cell>
          <cell r="M35" t="str">
            <v>Igle</v>
          </cell>
          <cell r="N35" t="str">
            <v>Kyrk</v>
          </cell>
          <cell r="O35" t="str">
            <v>Lham</v>
          </cell>
          <cell r="P35" t="str">
            <v>Lura</v>
          </cell>
          <cell r="Q35" t="str">
            <v>Malm</v>
          </cell>
          <cell r="R35" t="str">
            <v>Maud</v>
          </cell>
          <cell r="S35" t="str">
            <v>Pors</v>
          </cell>
          <cell r="T35" t="str">
            <v>Risk</v>
          </cell>
          <cell r="U35" t="str">
            <v>Sand</v>
          </cell>
          <cell r="V35" t="str">
            <v>Skei</v>
          </cell>
          <cell r="W35" t="str">
            <v>Smea</v>
          </cell>
          <cell r="X35" t="str">
            <v>Soma</v>
          </cell>
          <cell r="Y35" t="str">
            <v>Stan</v>
          </cell>
          <cell r="Z35" t="str">
            <v>Svil</v>
          </cell>
          <cell r="AA35" t="str">
            <v>Sørb</v>
          </cell>
          <cell r="AB35" t="str">
            <v>Tron</v>
          </cell>
          <cell r="AC35" t="str">
            <v>Vatn</v>
          </cell>
          <cell r="AD35" t="str">
            <v>Øyga</v>
          </cell>
          <cell r="AE35" t="str">
            <v>Alto</v>
          </cell>
        </row>
        <row r="36">
          <cell r="B36" t="str">
            <v>Ant ansatte over 60 år</v>
          </cell>
          <cell r="C36">
            <v>1</v>
          </cell>
          <cell r="D36">
            <v>6.8</v>
          </cell>
          <cell r="E36">
            <v>0</v>
          </cell>
          <cell r="F36">
            <v>0.7</v>
          </cell>
          <cell r="G36">
            <v>1.5</v>
          </cell>
          <cell r="H36">
            <v>3.94</v>
          </cell>
          <cell r="I36">
            <v>3.93</v>
          </cell>
          <cell r="J36">
            <v>0</v>
          </cell>
          <cell r="K36">
            <v>1</v>
          </cell>
          <cell r="L36">
            <v>10.382100000000001</v>
          </cell>
          <cell r="M36">
            <v>2.7138</v>
          </cell>
          <cell r="N36">
            <v>2</v>
          </cell>
          <cell r="O36">
            <v>1</v>
          </cell>
          <cell r="P36">
            <v>5.0999999999999996</v>
          </cell>
          <cell r="Q36">
            <v>0.2</v>
          </cell>
          <cell r="R36">
            <v>1</v>
          </cell>
          <cell r="S36">
            <v>1.1000000000000001</v>
          </cell>
          <cell r="T36">
            <v>3.17</v>
          </cell>
          <cell r="U36">
            <v>6.0949999999999998</v>
          </cell>
          <cell r="V36">
            <v>8.07</v>
          </cell>
          <cell r="W36">
            <v>0</v>
          </cell>
          <cell r="X36">
            <v>0.25</v>
          </cell>
          <cell r="Y36">
            <v>3.65</v>
          </cell>
          <cell r="Z36">
            <v>0</v>
          </cell>
          <cell r="AA36">
            <v>0</v>
          </cell>
          <cell r="AB36">
            <v>9</v>
          </cell>
          <cell r="AC36">
            <v>0</v>
          </cell>
          <cell r="AD36">
            <v>2</v>
          </cell>
          <cell r="AE36">
            <v>0</v>
          </cell>
        </row>
        <row r="38">
          <cell r="B38" t="str">
            <v>Øvrige manuelle tildelinger/fradrag</v>
          </cell>
        </row>
        <row r="39">
          <cell r="B39" t="str">
            <v>Justering for gjennomsnittslønn</v>
          </cell>
          <cell r="C39">
            <v>-292000</v>
          </cell>
          <cell r="D39">
            <v>296000</v>
          </cell>
          <cell r="E39">
            <v>-268000</v>
          </cell>
          <cell r="F39">
            <v>-48000</v>
          </cell>
          <cell r="G39">
            <v>-270000</v>
          </cell>
          <cell r="H39">
            <v>75000</v>
          </cell>
          <cell r="I39">
            <v>-192000</v>
          </cell>
          <cell r="J39">
            <v>-171000</v>
          </cell>
          <cell r="K39">
            <v>-118000</v>
          </cell>
          <cell r="L39">
            <v>640000</v>
          </cell>
          <cell r="M39">
            <v>-71000</v>
          </cell>
          <cell r="N39">
            <v>8000</v>
          </cell>
          <cell r="O39">
            <v>270000</v>
          </cell>
          <cell r="P39">
            <v>468000</v>
          </cell>
          <cell r="Q39">
            <v>33000</v>
          </cell>
          <cell r="R39">
            <v>-198000</v>
          </cell>
          <cell r="S39">
            <v>-4000</v>
          </cell>
          <cell r="T39">
            <v>-367000</v>
          </cell>
          <cell r="U39">
            <v>68000</v>
          </cell>
          <cell r="V39">
            <v>8000</v>
          </cell>
          <cell r="W39">
            <v>185000</v>
          </cell>
          <cell r="X39">
            <v>223000</v>
          </cell>
          <cell r="Y39">
            <v>308000</v>
          </cell>
          <cell r="Z39">
            <v>24000</v>
          </cell>
          <cell r="AA39">
            <v>80000</v>
          </cell>
          <cell r="AB39">
            <v>-1095000</v>
          </cell>
          <cell r="AC39">
            <v>-109000</v>
          </cell>
          <cell r="AD39">
            <v>517000</v>
          </cell>
        </row>
      </sheetData>
      <sheetData sheetId="5">
        <row r="4">
          <cell r="C4" t="str">
            <v>Skole fork</v>
          </cell>
          <cell r="D4" t="str">
            <v>Annet</v>
          </cell>
          <cell r="E4" t="str">
            <v>Refusjon fra andre kommuner</v>
          </cell>
          <cell r="F4" t="str">
            <v>Elever fra andre kommuner</v>
          </cell>
          <cell r="G4" t="str">
            <v>Husleie</v>
          </cell>
          <cell r="H4" t="str">
            <v>Innførings-klasser</v>
          </cell>
          <cell r="I4" t="str">
            <v>Øvingslærere</v>
          </cell>
          <cell r="J4" t="str">
            <v>Kommunale-avgifter</v>
          </cell>
          <cell r="K4" t="str">
            <v xml:space="preserve">Norsk 2 </v>
          </cell>
          <cell r="L4" t="str">
            <v>Refusjon fra UiS</v>
          </cell>
          <cell r="M4" t="str">
            <v>Ekstra ressurser</v>
          </cell>
        </row>
        <row r="9">
          <cell r="C9" t="str">
            <v>Aspe</v>
          </cell>
        </row>
        <row r="10">
          <cell r="C10" t="str">
            <v>Aust</v>
          </cell>
        </row>
        <row r="11">
          <cell r="C11" t="str">
            <v>Boga</v>
          </cell>
        </row>
        <row r="12">
          <cell r="C12" t="str">
            <v>Figg</v>
          </cell>
        </row>
        <row r="13">
          <cell r="C13" t="str">
            <v>Gand</v>
          </cell>
        </row>
        <row r="14">
          <cell r="C14" t="str">
            <v>Gisk</v>
          </cell>
        </row>
        <row r="15">
          <cell r="C15" t="str">
            <v>Hana</v>
          </cell>
        </row>
        <row r="16">
          <cell r="C16" t="str">
            <v>Homm</v>
          </cell>
        </row>
        <row r="17">
          <cell r="C17" t="str">
            <v>Høle</v>
          </cell>
        </row>
        <row r="18">
          <cell r="C18" t="str">
            <v>Høyl</v>
          </cell>
        </row>
        <row r="19">
          <cell r="C19" t="str">
            <v>Igle</v>
          </cell>
        </row>
        <row r="20">
          <cell r="C20" t="str">
            <v>Kyrk</v>
          </cell>
        </row>
        <row r="21">
          <cell r="C21" t="str">
            <v>Lham</v>
          </cell>
        </row>
        <row r="22">
          <cell r="C22" t="str">
            <v>Lura</v>
          </cell>
        </row>
        <row r="23">
          <cell r="C23" t="str">
            <v>Malm</v>
          </cell>
        </row>
        <row r="24">
          <cell r="C24" t="str">
            <v>Maud</v>
          </cell>
        </row>
        <row r="25">
          <cell r="C25" t="str">
            <v>Pors</v>
          </cell>
        </row>
        <row r="26">
          <cell r="C26" t="str">
            <v>Risk</v>
          </cell>
        </row>
        <row r="27">
          <cell r="C27" t="str">
            <v>Sand</v>
          </cell>
        </row>
        <row r="28">
          <cell r="C28" t="str">
            <v>Skei</v>
          </cell>
        </row>
        <row r="29">
          <cell r="C29" t="str">
            <v>Smea</v>
          </cell>
        </row>
        <row r="30">
          <cell r="C30" t="str">
            <v>Soma</v>
          </cell>
        </row>
        <row r="31">
          <cell r="C31" t="str">
            <v>Stan</v>
          </cell>
        </row>
        <row r="32">
          <cell r="C32" t="str">
            <v>Svil</v>
          </cell>
        </row>
        <row r="33">
          <cell r="C33" t="str">
            <v>Sørb</v>
          </cell>
        </row>
        <row r="34">
          <cell r="C34" t="str">
            <v>Tron</v>
          </cell>
        </row>
        <row r="35">
          <cell r="C35" t="str">
            <v>Vatn</v>
          </cell>
        </row>
        <row r="36">
          <cell r="C36" t="str">
            <v>Øyga</v>
          </cell>
        </row>
        <row r="37">
          <cell r="C37" t="str">
            <v>Alto</v>
          </cell>
        </row>
        <row r="38">
          <cell r="C38" t="str">
            <v>Ny 1</v>
          </cell>
        </row>
        <row r="39">
          <cell r="C39" t="str">
            <v>Ny 2</v>
          </cell>
        </row>
        <row r="40">
          <cell r="C40" t="str">
            <v>Ny 3</v>
          </cell>
        </row>
      </sheetData>
      <sheetData sheetId="6"/>
      <sheetData sheetId="7"/>
      <sheetData sheetId="8"/>
      <sheetData sheetId="9">
        <row r="18">
          <cell r="C18" t="str">
            <v>Årstrinn</v>
          </cell>
          <cell r="D18" t="str">
            <v>Aspe</v>
          </cell>
          <cell r="E18" t="str">
            <v>Aust</v>
          </cell>
          <cell r="F18" t="str">
            <v>Boga</v>
          </cell>
          <cell r="G18" t="str">
            <v>Figg</v>
          </cell>
          <cell r="H18" t="str">
            <v>Gand</v>
          </cell>
          <cell r="I18" t="str">
            <v>Gisk</v>
          </cell>
          <cell r="J18" t="str">
            <v>Hana</v>
          </cell>
          <cell r="K18" t="str">
            <v>Homm</v>
          </cell>
          <cell r="L18" t="str">
            <v>Høle</v>
          </cell>
          <cell r="M18" t="str">
            <v>Høyl</v>
          </cell>
          <cell r="N18" t="str">
            <v>Igle</v>
          </cell>
          <cell r="O18" t="str">
            <v>Kyrk</v>
          </cell>
          <cell r="P18" t="str">
            <v>Lham</v>
          </cell>
          <cell r="Q18" t="str">
            <v>Lura</v>
          </cell>
          <cell r="R18" t="str">
            <v>Malm</v>
          </cell>
          <cell r="S18" t="str">
            <v>Maud</v>
          </cell>
          <cell r="T18" t="str">
            <v>Pors</v>
          </cell>
          <cell r="U18" t="str">
            <v>Risk</v>
          </cell>
          <cell r="V18" t="str">
            <v>Sand</v>
          </cell>
          <cell r="W18" t="str">
            <v>Skei</v>
          </cell>
          <cell r="X18" t="str">
            <v>Smea</v>
          </cell>
          <cell r="Y18" t="str">
            <v>Soma</v>
          </cell>
          <cell r="Z18" t="str">
            <v>Stan</v>
          </cell>
          <cell r="AA18" t="str">
            <v>Svil</v>
          </cell>
          <cell r="AB18" t="str">
            <v>Sørb</v>
          </cell>
          <cell r="AC18" t="str">
            <v>Tron</v>
          </cell>
          <cell r="AD18" t="str">
            <v>Vatn</v>
          </cell>
          <cell r="AE18" t="str">
            <v>Øyga</v>
          </cell>
          <cell r="AF18" t="str">
            <v>Alto</v>
          </cell>
        </row>
        <row r="19">
          <cell r="C19" t="str">
            <v>1-7</v>
          </cell>
          <cell r="D19">
            <v>313</v>
          </cell>
          <cell r="E19">
            <v>306</v>
          </cell>
          <cell r="F19">
            <v>429</v>
          </cell>
          <cell r="G19">
            <v>227</v>
          </cell>
          <cell r="H19">
            <v>373</v>
          </cell>
          <cell r="I19">
            <v>0</v>
          </cell>
          <cell r="J19">
            <v>321</v>
          </cell>
          <cell r="K19">
            <v>178</v>
          </cell>
          <cell r="L19">
            <v>88</v>
          </cell>
          <cell r="M19">
            <v>0</v>
          </cell>
          <cell r="N19">
            <v>361</v>
          </cell>
          <cell r="O19">
            <v>372</v>
          </cell>
          <cell r="P19">
            <v>0</v>
          </cell>
          <cell r="Q19">
            <v>437</v>
          </cell>
          <cell r="R19">
            <v>80</v>
          </cell>
          <cell r="S19">
            <v>198</v>
          </cell>
          <cell r="T19">
            <v>330</v>
          </cell>
          <cell r="U19">
            <v>0</v>
          </cell>
          <cell r="V19">
            <v>515</v>
          </cell>
          <cell r="W19">
            <v>0</v>
          </cell>
          <cell r="X19">
            <v>177</v>
          </cell>
          <cell r="Y19">
            <v>60</v>
          </cell>
          <cell r="Z19">
            <v>450</v>
          </cell>
          <cell r="AA19">
            <v>108</v>
          </cell>
          <cell r="AB19">
            <v>196</v>
          </cell>
          <cell r="AC19">
            <v>520</v>
          </cell>
          <cell r="AD19">
            <v>77</v>
          </cell>
          <cell r="AE19">
            <v>0</v>
          </cell>
          <cell r="AF19">
            <v>0</v>
          </cell>
        </row>
        <row r="20">
          <cell r="C20" t="str">
            <v>8-10</v>
          </cell>
          <cell r="D20">
            <v>0</v>
          </cell>
          <cell r="E20">
            <v>0</v>
          </cell>
          <cell r="F20">
            <v>80</v>
          </cell>
          <cell r="G20">
            <v>0</v>
          </cell>
          <cell r="H20">
            <v>0</v>
          </cell>
          <cell r="I20">
            <v>395</v>
          </cell>
          <cell r="J20">
            <v>0</v>
          </cell>
          <cell r="K20">
            <v>0</v>
          </cell>
          <cell r="L20">
            <v>42</v>
          </cell>
          <cell r="M20">
            <v>478</v>
          </cell>
          <cell r="N20">
            <v>0</v>
          </cell>
          <cell r="O20">
            <v>0</v>
          </cell>
          <cell r="P20">
            <v>308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341</v>
          </cell>
          <cell r="V20">
            <v>0</v>
          </cell>
          <cell r="W20">
            <v>483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12</v>
          </cell>
          <cell r="AD20">
            <v>0</v>
          </cell>
          <cell r="AE20">
            <v>375</v>
          </cell>
          <cell r="AF20">
            <v>0</v>
          </cell>
        </row>
        <row r="21">
          <cell r="C21" t="str">
            <v>Sum</v>
          </cell>
          <cell r="D21">
            <v>313</v>
          </cell>
          <cell r="E21">
            <v>306</v>
          </cell>
          <cell r="F21">
            <v>509</v>
          </cell>
          <cell r="G21">
            <v>227</v>
          </cell>
          <cell r="H21">
            <v>373</v>
          </cell>
          <cell r="I21">
            <v>395</v>
          </cell>
          <cell r="J21">
            <v>321</v>
          </cell>
          <cell r="K21">
            <v>178</v>
          </cell>
          <cell r="L21">
            <v>130</v>
          </cell>
          <cell r="M21">
            <v>478</v>
          </cell>
          <cell r="N21">
            <v>361</v>
          </cell>
          <cell r="O21">
            <v>372</v>
          </cell>
          <cell r="P21">
            <v>308</v>
          </cell>
          <cell r="Q21">
            <v>437</v>
          </cell>
          <cell r="R21">
            <v>80</v>
          </cell>
          <cell r="S21">
            <v>198</v>
          </cell>
          <cell r="T21">
            <v>330</v>
          </cell>
          <cell r="U21">
            <v>341</v>
          </cell>
          <cell r="V21">
            <v>515</v>
          </cell>
          <cell r="W21">
            <v>483</v>
          </cell>
          <cell r="X21">
            <v>177</v>
          </cell>
          <cell r="Y21">
            <v>60</v>
          </cell>
          <cell r="Z21">
            <v>450</v>
          </cell>
          <cell r="AA21">
            <v>108</v>
          </cell>
          <cell r="AB21">
            <v>196</v>
          </cell>
          <cell r="AC21">
            <v>532</v>
          </cell>
          <cell r="AD21">
            <v>77</v>
          </cell>
          <cell r="AE21">
            <v>375</v>
          </cell>
          <cell r="AF21">
            <v>0</v>
          </cell>
        </row>
      </sheetData>
      <sheetData sheetId="10">
        <row r="5">
          <cell r="A5" t="str">
            <v>Skolenavn</v>
          </cell>
          <cell r="B5" t="str">
            <v>Aspe</v>
          </cell>
          <cell r="C5" t="str">
            <v>Aust</v>
          </cell>
          <cell r="D5" t="str">
            <v>Boga</v>
          </cell>
          <cell r="E5" t="str">
            <v>Figg</v>
          </cell>
          <cell r="F5" t="str">
            <v>Gand</v>
          </cell>
          <cell r="G5" t="str">
            <v>Gisk</v>
          </cell>
          <cell r="H5" t="str">
            <v>Hana</v>
          </cell>
          <cell r="I5" t="str">
            <v>Homm</v>
          </cell>
          <cell r="J5" t="str">
            <v>Høle</v>
          </cell>
          <cell r="K5" t="str">
            <v>Høyl</v>
          </cell>
          <cell r="L5" t="str">
            <v>Igle</v>
          </cell>
          <cell r="M5" t="str">
            <v>Kyrk</v>
          </cell>
          <cell r="N5" t="str">
            <v>Lham</v>
          </cell>
          <cell r="O5" t="str">
            <v>Lura</v>
          </cell>
          <cell r="P5" t="str">
            <v>Malm</v>
          </cell>
          <cell r="Q5" t="str">
            <v>Maud</v>
          </cell>
          <cell r="R5" t="str">
            <v>Pors</v>
          </cell>
          <cell r="S5" t="str">
            <v>Risk</v>
          </cell>
          <cell r="T5" t="str">
            <v>Sand</v>
          </cell>
          <cell r="U5" t="str">
            <v>Skei</v>
          </cell>
          <cell r="V5" t="str">
            <v>Smea</v>
          </cell>
          <cell r="W5" t="str">
            <v>Soma</v>
          </cell>
          <cell r="X5" t="str">
            <v>Stan</v>
          </cell>
          <cell r="Y5" t="str">
            <v>Svil</v>
          </cell>
          <cell r="Z5" t="str">
            <v>Sørb</v>
          </cell>
          <cell r="AA5" t="str">
            <v>Tron</v>
          </cell>
          <cell r="AB5" t="str">
            <v>Vatn</v>
          </cell>
          <cell r="AC5" t="str">
            <v>Øyga</v>
          </cell>
          <cell r="AD5" t="str">
            <v>Alto</v>
          </cell>
        </row>
        <row r="6">
          <cell r="A6" t="str">
            <v>Ant senior-stillinger 58-59 år</v>
          </cell>
          <cell r="B6">
            <v>1.673</v>
          </cell>
          <cell r="C6">
            <v>0</v>
          </cell>
          <cell r="D6">
            <v>0.5</v>
          </cell>
          <cell r="E6">
            <v>0.5</v>
          </cell>
          <cell r="F6">
            <v>1</v>
          </cell>
          <cell r="G6">
            <v>3.2574999999999998</v>
          </cell>
          <cell r="H6">
            <v>1.8459999999999999</v>
          </cell>
          <cell r="I6">
            <v>0</v>
          </cell>
          <cell r="J6">
            <v>0.87890000000000001</v>
          </cell>
          <cell r="K6">
            <v>1.45</v>
          </cell>
          <cell r="L6">
            <v>1</v>
          </cell>
          <cell r="M6">
            <v>0</v>
          </cell>
          <cell r="N6">
            <v>0</v>
          </cell>
          <cell r="O6">
            <v>2.4500000000000002</v>
          </cell>
          <cell r="P6">
            <v>0</v>
          </cell>
          <cell r="Q6">
            <v>0</v>
          </cell>
          <cell r="R6">
            <v>1</v>
          </cell>
          <cell r="S6">
            <v>0.4</v>
          </cell>
          <cell r="T6">
            <v>2</v>
          </cell>
          <cell r="U6">
            <v>2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2</v>
          </cell>
          <cell r="AB6">
            <v>0</v>
          </cell>
          <cell r="AC6">
            <v>3.13</v>
          </cell>
          <cell r="AD6">
            <v>0</v>
          </cell>
        </row>
        <row r="7">
          <cell r="A7" t="str">
            <v>Ant senior-stillinger over 60 år</v>
          </cell>
          <cell r="B7">
            <v>1</v>
          </cell>
          <cell r="C7">
            <v>3</v>
          </cell>
          <cell r="D7">
            <v>0</v>
          </cell>
          <cell r="E7">
            <v>0.7</v>
          </cell>
          <cell r="F7">
            <v>0</v>
          </cell>
          <cell r="G7">
            <v>6.3354999999999997</v>
          </cell>
          <cell r="H7">
            <v>3.6379999999999999</v>
          </cell>
          <cell r="I7">
            <v>0</v>
          </cell>
          <cell r="J7">
            <v>1.1000000000000001</v>
          </cell>
          <cell r="K7">
            <v>12.476999999999999</v>
          </cell>
          <cell r="L7">
            <v>2.1118000000000001</v>
          </cell>
          <cell r="M7">
            <v>1.8</v>
          </cell>
          <cell r="N7">
            <v>1.5</v>
          </cell>
          <cell r="O7">
            <v>7.6</v>
          </cell>
          <cell r="P7">
            <v>0.2</v>
          </cell>
          <cell r="Q7">
            <v>1</v>
          </cell>
          <cell r="R7">
            <v>1.1000000000000001</v>
          </cell>
          <cell r="S7">
            <v>4</v>
          </cell>
          <cell r="T7">
            <v>5.25</v>
          </cell>
          <cell r="U7">
            <v>9.1</v>
          </cell>
          <cell r="V7">
            <v>0</v>
          </cell>
          <cell r="W7">
            <v>0.25</v>
          </cell>
          <cell r="X7">
            <v>3</v>
          </cell>
          <cell r="Y7">
            <v>3.08</v>
          </cell>
          <cell r="Z7">
            <v>0</v>
          </cell>
          <cell r="AA7">
            <v>7.5039999999999996</v>
          </cell>
          <cell r="AB7">
            <v>0</v>
          </cell>
          <cell r="AC7">
            <v>3</v>
          </cell>
          <cell r="AD7">
            <v>0</v>
          </cell>
        </row>
        <row r="8">
          <cell r="A8" t="str">
            <v>Ekstra årsverk tilført</v>
          </cell>
          <cell r="B8">
            <v>0.23038</v>
          </cell>
          <cell r="C8">
            <v>0.39</v>
          </cell>
          <cell r="D8">
            <v>0.03</v>
          </cell>
          <cell r="E8">
            <v>0.121</v>
          </cell>
          <cell r="F8">
            <v>0.06</v>
          </cell>
          <cell r="G8">
            <v>1.0190649999999999</v>
          </cell>
          <cell r="H8">
            <v>0.5837</v>
          </cell>
          <cell r="I8">
            <v>0</v>
          </cell>
          <cell r="J8">
            <v>0.19573400000000002</v>
          </cell>
          <cell r="K8">
            <v>1.7090099999999999</v>
          </cell>
          <cell r="L8">
            <v>0.334534</v>
          </cell>
          <cell r="M8">
            <v>0.23400000000000001</v>
          </cell>
          <cell r="N8">
            <v>0.19500000000000001</v>
          </cell>
          <cell r="O8">
            <v>1.135</v>
          </cell>
          <cell r="P8">
            <v>2.6000000000000002E-2</v>
          </cell>
          <cell r="Q8">
            <v>0.13</v>
          </cell>
          <cell r="R8">
            <v>0.20300000000000001</v>
          </cell>
          <cell r="S8">
            <v>0.54400000000000004</v>
          </cell>
          <cell r="T8">
            <v>0.80249999999999999</v>
          </cell>
          <cell r="U8">
            <v>1.3029999999999999</v>
          </cell>
          <cell r="V8">
            <v>0</v>
          </cell>
          <cell r="W8">
            <v>9.2499999999999999E-2</v>
          </cell>
          <cell r="X8">
            <v>0.39</v>
          </cell>
          <cell r="Y8">
            <v>0.40040000000000003</v>
          </cell>
          <cell r="Z8">
            <v>0</v>
          </cell>
          <cell r="AA8">
            <v>1.09552</v>
          </cell>
          <cell r="AB8">
            <v>0</v>
          </cell>
          <cell r="AC8">
            <v>0.57779999999999998</v>
          </cell>
          <cell r="AD8">
            <v>0</v>
          </cell>
        </row>
        <row r="9">
          <cell r="A9" t="str">
            <v>Tillegg for ekstra ferieuke</v>
          </cell>
          <cell r="B9">
            <v>11882.763157894737</v>
          </cell>
          <cell r="C9">
            <v>80802.789473684214</v>
          </cell>
          <cell r="D9">
            <v>0</v>
          </cell>
          <cell r="E9">
            <v>8317.9342105263149</v>
          </cell>
          <cell r="F9">
            <v>17824.144736842107</v>
          </cell>
          <cell r="G9">
            <v>46818.086842105258</v>
          </cell>
          <cell r="H9">
            <v>46699.259210526317</v>
          </cell>
          <cell r="I9">
            <v>0</v>
          </cell>
          <cell r="J9">
            <v>11882.763157894737</v>
          </cell>
          <cell r="K9">
            <v>123368.03538157896</v>
          </cell>
          <cell r="L9">
            <v>32247.442657894735</v>
          </cell>
          <cell r="M9">
            <v>23765.526315789473</v>
          </cell>
          <cell r="N9">
            <v>11882.763157894737</v>
          </cell>
          <cell r="O9">
            <v>60602.092105263153</v>
          </cell>
          <cell r="P9">
            <v>2376.5526315789475</v>
          </cell>
          <cell r="Q9">
            <v>11882.763157894737</v>
          </cell>
          <cell r="R9">
            <v>13071.039473684212</v>
          </cell>
          <cell r="S9">
            <v>37668.359210526316</v>
          </cell>
          <cell r="T9">
            <v>72425.441447368416</v>
          </cell>
          <cell r="U9">
            <v>95893.898684210522</v>
          </cell>
          <cell r="V9">
            <v>0</v>
          </cell>
          <cell r="W9">
            <v>2970.6907894736842</v>
          </cell>
          <cell r="X9">
            <v>43372.085526315786</v>
          </cell>
          <cell r="Y9">
            <v>0</v>
          </cell>
          <cell r="Z9">
            <v>0</v>
          </cell>
          <cell r="AA9">
            <v>106944.86842105263</v>
          </cell>
          <cell r="AB9">
            <v>0</v>
          </cell>
          <cell r="AC9">
            <v>23765.526315789473</v>
          </cell>
          <cell r="AD9">
            <v>0</v>
          </cell>
        </row>
        <row r="11">
          <cell r="A11" t="str">
            <v>Tillegg for senioransatte</v>
          </cell>
          <cell r="B11">
            <v>115909.70025789473</v>
          </cell>
          <cell r="C11">
            <v>256905.33947368423</v>
          </cell>
          <cell r="D11">
            <v>13546.35</v>
          </cell>
          <cell r="E11">
            <v>62954.879210526313</v>
          </cell>
          <cell r="F11">
            <v>44916.844736842104</v>
          </cell>
          <cell r="G11">
            <v>506971.79226710519</v>
          </cell>
          <cell r="H11">
            <v>310266.07571052632</v>
          </cell>
          <cell r="I11">
            <v>0</v>
          </cell>
          <cell r="J11">
            <v>100265.47218789475</v>
          </cell>
          <cell r="K11">
            <v>895062.95583157893</v>
          </cell>
          <cell r="L11">
            <v>183304.59768789474</v>
          </cell>
          <cell r="M11">
            <v>129427.05631578949</v>
          </cell>
          <cell r="N11">
            <v>99934.038157894742</v>
          </cell>
          <cell r="O11">
            <v>573105.66710526322</v>
          </cell>
          <cell r="P11">
            <v>14116.722631578948</v>
          </cell>
          <cell r="Q11">
            <v>70583.613157894739</v>
          </cell>
          <cell r="R11">
            <v>104734.67447368422</v>
          </cell>
          <cell r="S11">
            <v>283308.83921052632</v>
          </cell>
          <cell r="T11">
            <v>434790.3039473684</v>
          </cell>
          <cell r="U11">
            <v>684257.0336842105</v>
          </cell>
          <cell r="V11">
            <v>0</v>
          </cell>
          <cell r="W11">
            <v>44738.603289473685</v>
          </cell>
          <cell r="X11">
            <v>219474.6355263158</v>
          </cell>
          <cell r="Y11">
            <v>180798.61800000002</v>
          </cell>
          <cell r="Z11">
            <v>0</v>
          </cell>
          <cell r="AA11">
            <v>601621.44682105258</v>
          </cell>
          <cell r="AB11">
            <v>0</v>
          </cell>
          <cell r="AC11">
            <v>284668.2273157895</v>
          </cell>
          <cell r="AD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Y"/>
      <sheetName val="Hjelpeark"/>
      <sheetName val="Veiledning"/>
      <sheetName val="Tildelingsfaktorer"/>
      <sheetName val="Manuell tildeling"/>
      <sheetName val="Tildeling pr. skole"/>
      <sheetName val="Simulering spesundv"/>
      <sheetName val="Sammenligning m gammel modell"/>
      <sheetName val="Simulering - kommune"/>
      <sheetName val="Utrekk skoleadmin"/>
      <sheetName val="MR antall elever"/>
      <sheetName val="Uttrek senior 1"/>
      <sheetName val="Uttrekk senior 2"/>
      <sheetName val="MR senior"/>
      <sheetName val="Uttrekk gjlønn"/>
      <sheetName val="MR gjlønn"/>
      <sheetName val="Totalrapport"/>
      <sheetName val="Brei"/>
      <sheetName val="Bugå"/>
      <sheetName val="Ranv"/>
      <sheetName val="Vard"/>
      <sheetName val="Bysk"/>
      <sheetName val="Feva"/>
      <sheetName val="Fram"/>
      <sheetName val="Goks"/>
      <sheetName val="Hauk"/>
      <sheetName val="Helg"/>
      <sheetName val="Krok"/>
      <sheetName val="Moss"/>
      <sheetName val="Orme"/>
      <sheetName val="Sand"/>
      <sheetName val="Stor"/>
      <sheetName val="Unne"/>
      <sheetName val="Vest"/>
      <sheetName val="Viri"/>
      <sheetName val="Ny 1"/>
      <sheetName val="Ny 2"/>
      <sheetName val="Ny 3"/>
      <sheetName val="Ny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intern.sandefjord.kommune.no\administrasjon\KBU\Administrasjon%20oppvekst%20og%20kunnskap\21%20Barnehagemyndighet\&#167;%2019%20Kommunalt%20tilskudd\2024\Regnskap%202022%20hele%20kommunen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B1:I50"/>
  <sheetViews>
    <sheetView workbookViewId="0"/>
  </sheetViews>
  <sheetFormatPr baseColWidth="10" defaultRowHeight="12.5" x14ac:dyDescent="0.25"/>
  <cols>
    <col min="2" max="2" width="54.7265625" customWidth="1"/>
    <col min="3" max="3" width="13.81640625" bestFit="1" customWidth="1"/>
    <col min="4" max="4" width="10.26953125" style="78" customWidth="1"/>
    <col min="5" max="5" width="48.1796875" bestFit="1" customWidth="1"/>
    <col min="8" max="8" width="12.81640625" bestFit="1" customWidth="1"/>
  </cols>
  <sheetData>
    <row r="1" spans="2:9" ht="15.5" x14ac:dyDescent="0.35">
      <c r="B1" s="98" t="s">
        <v>126</v>
      </c>
    </row>
    <row r="4" spans="2:9" x14ac:dyDescent="0.25">
      <c r="C4" s="2"/>
      <c r="D4" s="59"/>
    </row>
    <row r="5" spans="2:9" x14ac:dyDescent="0.25">
      <c r="B5" s="2" t="s">
        <v>448</v>
      </c>
      <c r="C5" s="1">
        <f>'Input, kommunale barnehager'!B47+'Input, kommunale barnehager'!D47+'Input, kommunale barnehager'!E47+'Input, kommunale barnehager'!F47+'Input, kommunale barnehager'!L47</f>
        <v>237351283.03633407</v>
      </c>
      <c r="E5" s="114" t="s">
        <v>329</v>
      </c>
      <c r="F5" s="115">
        <v>271.62</v>
      </c>
    </row>
    <row r="6" spans="2:9" x14ac:dyDescent="0.25">
      <c r="B6" t="s">
        <v>127</v>
      </c>
      <c r="C6" s="1">
        <f>'Input, kommunale barnehager'!H47</f>
        <v>-37121747.240000002</v>
      </c>
      <c r="E6" s="114" t="s">
        <v>447</v>
      </c>
      <c r="F6" s="115">
        <v>274.72999999999996</v>
      </c>
    </row>
    <row r="7" spans="2:9" x14ac:dyDescent="0.25">
      <c r="B7" s="2" t="s">
        <v>449</v>
      </c>
      <c r="C7" s="1">
        <f>C5+C6</f>
        <v>200229535.79633406</v>
      </c>
      <c r="E7" s="114" t="s">
        <v>128</v>
      </c>
      <c r="F7" s="115">
        <f>F5*7/12+F6*5/12</f>
        <v>272.91583333333335</v>
      </c>
    </row>
    <row r="8" spans="2:9" x14ac:dyDescent="0.25">
      <c r="E8" s="114" t="s">
        <v>273</v>
      </c>
      <c r="F8" s="131">
        <f>-C6/F7*1.045*1.043</f>
        <v>148251.90273446718</v>
      </c>
    </row>
    <row r="9" spans="2:9" x14ac:dyDescent="0.25">
      <c r="B9" t="s">
        <v>129</v>
      </c>
      <c r="C9" s="205">
        <v>166441250.82999986</v>
      </c>
      <c r="D9" s="1"/>
      <c r="E9" s="114" t="s">
        <v>276</v>
      </c>
      <c r="F9" s="131">
        <f>218048273.99/(D29*1.8+D30)*1.045*1.043</f>
        <v>165026.2407435991</v>
      </c>
    </row>
    <row r="10" spans="2:9" x14ac:dyDescent="0.25">
      <c r="B10" s="2" t="s">
        <v>330</v>
      </c>
      <c r="C10" s="1">
        <f>C9*10%</f>
        <v>16644125.082999988</v>
      </c>
      <c r="D10" s="1"/>
      <c r="E10" s="114"/>
      <c r="F10" s="114"/>
      <c r="I10" s="1"/>
    </row>
    <row r="11" spans="2:9" x14ac:dyDescent="0.25">
      <c r="B11" t="s">
        <v>130</v>
      </c>
      <c r="C11" s="1">
        <f>C10*14.1%</f>
        <v>2346821.6367029981</v>
      </c>
      <c r="D11" s="1"/>
      <c r="E11" s="114" t="str">
        <f>B10</f>
        <v>Pensjonspåslag eks arbeidsgiveravgift (10%)</v>
      </c>
      <c r="F11" s="131">
        <f>C10</f>
        <v>16644125.082999988</v>
      </c>
    </row>
    <row r="12" spans="2:9" x14ac:dyDescent="0.25">
      <c r="B12" t="s">
        <v>131</v>
      </c>
      <c r="C12" s="1">
        <f>C10+C11</f>
        <v>18990946.719702985</v>
      </c>
      <c r="D12" s="1"/>
      <c r="E12" s="114" t="s">
        <v>457</v>
      </c>
      <c r="F12" s="131">
        <f>F11*1.045*1.043</f>
        <v>18141014.472339585</v>
      </c>
    </row>
    <row r="13" spans="2:9" x14ac:dyDescent="0.25">
      <c r="D13"/>
      <c r="E13" s="114" t="s">
        <v>130</v>
      </c>
      <c r="F13" s="131">
        <f>F12*14.1%</f>
        <v>2557883.0405998812</v>
      </c>
    </row>
    <row r="14" spans="2:9" x14ac:dyDescent="0.25">
      <c r="B14" t="s">
        <v>132</v>
      </c>
      <c r="D14"/>
      <c r="E14" s="114" t="s">
        <v>131</v>
      </c>
      <c r="F14" s="131">
        <f>SUM(F12:F13)</f>
        <v>20698897.512939468</v>
      </c>
    </row>
    <row r="15" spans="2:9" x14ac:dyDescent="0.25">
      <c r="B15" s="2" t="s">
        <v>450</v>
      </c>
      <c r="C15" s="1">
        <f>C7</f>
        <v>200229535.79633406</v>
      </c>
      <c r="D15" s="1"/>
      <c r="E15" s="114"/>
      <c r="F15" s="114"/>
    </row>
    <row r="16" spans="2:9" x14ac:dyDescent="0.25">
      <c r="B16" t="s">
        <v>135</v>
      </c>
      <c r="C16" s="1">
        <f>C12</f>
        <v>18990946.719702985</v>
      </c>
      <c r="D16" s="1"/>
      <c r="E16" s="114" t="s">
        <v>133</v>
      </c>
      <c r="F16" s="116">
        <f>(F14*1.8*D29)/(D29*1.8+D30)</f>
        <v>9395476.4866454974</v>
      </c>
    </row>
    <row r="17" spans="2:6" x14ac:dyDescent="0.25">
      <c r="B17" t="s">
        <v>136</v>
      </c>
      <c r="C17" s="1">
        <f>C15+C16</f>
        <v>219220482.51603705</v>
      </c>
      <c r="D17" s="1"/>
      <c r="E17" s="114" t="s">
        <v>134</v>
      </c>
      <c r="F17" s="116">
        <f>(F14*D30/(D29*1.8+D30))</f>
        <v>11303421.026293969</v>
      </c>
    </row>
    <row r="18" spans="2:6" x14ac:dyDescent="0.25">
      <c r="B18" t="s">
        <v>138</v>
      </c>
      <c r="C18" s="1">
        <f>C17*4.3%</f>
        <v>9426480.7481895927</v>
      </c>
      <c r="D18" s="1"/>
      <c r="E18" s="114"/>
      <c r="F18" s="131"/>
    </row>
    <row r="19" spans="2:6" x14ac:dyDescent="0.25">
      <c r="C19" s="1"/>
      <c r="D19" s="1"/>
      <c r="E19" s="114" t="s">
        <v>137</v>
      </c>
      <c r="F19" s="131">
        <f>F16/D29</f>
        <v>25871.372785206895</v>
      </c>
    </row>
    <row r="20" spans="2:6" x14ac:dyDescent="0.25">
      <c r="B20" t="s">
        <v>140</v>
      </c>
      <c r="D20"/>
      <c r="E20" s="114" t="s">
        <v>139</v>
      </c>
      <c r="F20" s="131">
        <f>F17/D30</f>
        <v>14372.984880670496</v>
      </c>
    </row>
    <row r="21" spans="2:6" x14ac:dyDescent="0.25">
      <c r="B21" t="s">
        <v>456</v>
      </c>
      <c r="C21" s="1">
        <f>C7+C12+C18</f>
        <v>228646963.26422665</v>
      </c>
      <c r="D21" s="1"/>
    </row>
    <row r="22" spans="2:6" x14ac:dyDescent="0.25">
      <c r="B22" s="2" t="s">
        <v>451</v>
      </c>
      <c r="C22" s="1">
        <f>C21*4.5%</f>
        <v>10289113.346890198</v>
      </c>
      <c r="D22" s="1"/>
    </row>
    <row r="23" spans="2:6" x14ac:dyDescent="0.25">
      <c r="B23" s="2" t="s">
        <v>452</v>
      </c>
      <c r="C23" s="1">
        <f>C21+C22</f>
        <v>238936076.61111686</v>
      </c>
      <c r="D23" s="1"/>
      <c r="E23" s="73"/>
    </row>
    <row r="24" spans="2:6" x14ac:dyDescent="0.25">
      <c r="B24" s="2" t="s">
        <v>453</v>
      </c>
      <c r="C24" s="1">
        <f>C23*4.3%</f>
        <v>10274251.294278024</v>
      </c>
      <c r="D24" s="1"/>
    </row>
    <row r="25" spans="2:6" x14ac:dyDescent="0.25">
      <c r="B25" s="2" t="s">
        <v>454</v>
      </c>
      <c r="C25" s="1">
        <f>C23+C24</f>
        <v>249210327.90539488</v>
      </c>
      <c r="D25" s="1"/>
    </row>
    <row r="26" spans="2:6" x14ac:dyDescent="0.25">
      <c r="C26" s="1"/>
    </row>
    <row r="28" spans="2:6" x14ac:dyDescent="0.25">
      <c r="B28" s="51" t="s">
        <v>22</v>
      </c>
      <c r="C28" s="2" t="s">
        <v>80</v>
      </c>
      <c r="D28" s="99" t="s">
        <v>26</v>
      </c>
    </row>
    <row r="29" spans="2:6" x14ac:dyDescent="0.25">
      <c r="B29" s="100" t="s">
        <v>23</v>
      </c>
      <c r="C29" s="10">
        <f>'Beregning, komm.tilskudd'!B34</f>
        <v>784428</v>
      </c>
      <c r="D29" s="10">
        <f>'Beregning, komm.tilskudd'!C34</f>
        <v>363.1611111111111</v>
      </c>
    </row>
    <row r="30" spans="2:6" x14ac:dyDescent="0.25">
      <c r="B30" s="100" t="s">
        <v>24</v>
      </c>
      <c r="C30" s="10">
        <f>'Beregning, komm.tilskudd'!B35</f>
        <v>1698700</v>
      </c>
      <c r="D30" s="10">
        <f>'Beregning, komm.tilskudd'!C35</f>
        <v>786.43518518518522</v>
      </c>
    </row>
    <row r="31" spans="2:6" x14ac:dyDescent="0.25">
      <c r="B31" s="100" t="s">
        <v>0</v>
      </c>
      <c r="C31" s="101">
        <f>C29+C30</f>
        <v>2483128</v>
      </c>
      <c r="D31" s="102">
        <f>D29+D30</f>
        <v>1149.5962962962963</v>
      </c>
    </row>
    <row r="32" spans="2:6" x14ac:dyDescent="0.25">
      <c r="D32" s="88"/>
    </row>
    <row r="33" spans="2:5" x14ac:dyDescent="0.25">
      <c r="B33" s="51" t="s">
        <v>141</v>
      </c>
      <c r="D33" s="88"/>
    </row>
    <row r="34" spans="2:5" x14ac:dyDescent="0.25">
      <c r="B34" s="100" t="s">
        <v>23</v>
      </c>
      <c r="C34" s="85">
        <f>'Beregning, komm.tilskudd'!B39*1.043</f>
        <v>113119540.5262838</v>
      </c>
      <c r="D34" s="88"/>
    </row>
    <row r="35" spans="2:5" x14ac:dyDescent="0.25">
      <c r="B35" s="100" t="s">
        <v>24</v>
      </c>
      <c r="C35" s="85">
        <f>'Beregning, komm.tilskudd'!B40*1.043</f>
        <v>136090787.37911099</v>
      </c>
      <c r="D35" s="88"/>
    </row>
    <row r="36" spans="2:5" x14ac:dyDescent="0.25">
      <c r="B36" s="100" t="s">
        <v>0</v>
      </c>
      <c r="C36" s="102">
        <f>C34+C35</f>
        <v>249210327.90539479</v>
      </c>
      <c r="D36" s="88"/>
    </row>
    <row r="37" spans="2:5" x14ac:dyDescent="0.25">
      <c r="C37" s="88"/>
      <c r="D37" s="88"/>
      <c r="E37" s="119"/>
    </row>
    <row r="38" spans="2:5" x14ac:dyDescent="0.25">
      <c r="B38" s="51" t="s">
        <v>31</v>
      </c>
      <c r="C38" s="99"/>
      <c r="D38" s="88"/>
    </row>
    <row r="39" spans="2:5" x14ac:dyDescent="0.25">
      <c r="B39" s="100" t="s">
        <v>32</v>
      </c>
      <c r="C39" s="85">
        <f>'Beregning, komm.tilskudd'!B43</f>
        <v>11026236.071497288</v>
      </c>
      <c r="D39" s="88"/>
    </row>
    <row r="40" spans="2:5" x14ac:dyDescent="0.25">
      <c r="B40" s="100" t="s">
        <v>36</v>
      </c>
      <c r="C40" s="85">
        <f>'Beregning, komm.tilskudd'!B44</f>
        <v>23877611.730652712</v>
      </c>
      <c r="D40" s="88"/>
    </row>
    <row r="41" spans="2:5" x14ac:dyDescent="0.25">
      <c r="B41" s="100" t="s">
        <v>142</v>
      </c>
      <c r="C41" s="41">
        <f>C39+C40</f>
        <v>34903847.802149996</v>
      </c>
      <c r="D41" s="88"/>
    </row>
    <row r="42" spans="2:5" x14ac:dyDescent="0.25">
      <c r="C42" s="78"/>
    </row>
    <row r="43" spans="2:5" x14ac:dyDescent="0.25">
      <c r="B43" s="51" t="s">
        <v>143</v>
      </c>
      <c r="C43" s="88"/>
    </row>
    <row r="44" spans="2:5" x14ac:dyDescent="0.25">
      <c r="B44" s="100" t="s">
        <v>144</v>
      </c>
      <c r="C44" s="41">
        <f>C34-C39</f>
        <v>102093304.45478651</v>
      </c>
    </row>
    <row r="45" spans="2:5" x14ac:dyDescent="0.25">
      <c r="B45" s="100" t="s">
        <v>145</v>
      </c>
      <c r="C45" s="41">
        <f>C35-C40</f>
        <v>112213175.64845827</v>
      </c>
    </row>
    <row r="46" spans="2:5" x14ac:dyDescent="0.25">
      <c r="B46" s="100" t="s">
        <v>146</v>
      </c>
      <c r="C46" s="41">
        <f>C36-C41</f>
        <v>214306480.10324478</v>
      </c>
    </row>
    <row r="47" spans="2:5" x14ac:dyDescent="0.25">
      <c r="C47" s="78"/>
    </row>
    <row r="48" spans="2:5" x14ac:dyDescent="0.25">
      <c r="B48" s="51" t="s">
        <v>455</v>
      </c>
    </row>
    <row r="49" spans="2:3" x14ac:dyDescent="0.25">
      <c r="B49" s="100" t="s">
        <v>23</v>
      </c>
      <c r="C49" s="103">
        <f>C44/D29</f>
        <v>281124.00070157985</v>
      </c>
    </row>
    <row r="50" spans="2:3" x14ac:dyDescent="0.25">
      <c r="B50" s="100" t="s">
        <v>24</v>
      </c>
      <c r="C50" s="103">
        <f>C45/D30</f>
        <v>142685.85353545056</v>
      </c>
    </row>
  </sheetData>
  <sheetProtection algorithmName="SHA-512" hashValue="/evZyVdGgKgBsg8p4Y+o+zxArv37KG8uINUJM68s6aAAAvN477UeAeBfC0ypoJPq7l+UpyUmBHx6aQ/eNxhVcg==" saltValue="b7k2B166zyg1hlFWIaC7qg==" spinCount="100000" sheet="1" objects="1" scenarios="1"/>
  <pageMargins left="0.7" right="0.7" top="0.75" bottom="0.75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B7:N49"/>
  <sheetViews>
    <sheetView showRowColHeaders="0" tabSelected="1" zoomScale="85" zoomScaleNormal="85" workbookViewId="0"/>
  </sheetViews>
  <sheetFormatPr baseColWidth="10" defaultColWidth="10.7265625" defaultRowHeight="12.5" x14ac:dyDescent="0.25"/>
  <cols>
    <col min="1" max="16384" width="10.7265625" style="11"/>
  </cols>
  <sheetData>
    <row r="7" spans="2:2" x14ac:dyDescent="0.25">
      <c r="B7" s="216"/>
    </row>
    <row r="8" spans="2:2" x14ac:dyDescent="0.25">
      <c r="B8" s="216"/>
    </row>
    <row r="9" spans="2:2" x14ac:dyDescent="0.25">
      <c r="B9" s="216"/>
    </row>
    <row r="10" spans="2:2" x14ac:dyDescent="0.25">
      <c r="B10" s="216"/>
    </row>
    <row r="11" spans="2:2" x14ac:dyDescent="0.25">
      <c r="B11" s="216"/>
    </row>
    <row r="12" spans="2:2" x14ac:dyDescent="0.25">
      <c r="B12" s="216"/>
    </row>
    <row r="29" spans="2:13" x14ac:dyDescent="0.25">
      <c r="B29" s="12" t="s">
        <v>62</v>
      </c>
      <c r="C29" s="42">
        <f ca="1">TODAY()</f>
        <v>45260</v>
      </c>
      <c r="E29" s="12" t="s">
        <v>63</v>
      </c>
      <c r="F29" s="9" t="s">
        <v>459</v>
      </c>
      <c r="G29" s="9"/>
      <c r="H29" s="9"/>
      <c r="I29" s="9"/>
      <c r="J29" s="9"/>
      <c r="K29" s="9"/>
      <c r="L29" s="9"/>
      <c r="M29" s="9"/>
    </row>
    <row r="31" spans="2:13" x14ac:dyDescent="0.25">
      <c r="E31" s="12" t="s">
        <v>101</v>
      </c>
      <c r="F31" s="138" t="s">
        <v>332</v>
      </c>
      <c r="G31" s="9"/>
      <c r="H31" s="9"/>
      <c r="I31" s="9"/>
      <c r="J31" s="9"/>
      <c r="K31" s="9"/>
      <c r="L31" s="9"/>
      <c r="M31" s="9"/>
    </row>
    <row r="33" spans="2:14" ht="25" x14ac:dyDescent="0.5">
      <c r="B33" s="43" t="s">
        <v>331</v>
      </c>
      <c r="D33" s="30"/>
    </row>
    <row r="35" spans="2:14" ht="12.75" customHeight="1" x14ac:dyDescent="0.3">
      <c r="B35" s="44" t="s">
        <v>81</v>
      </c>
      <c r="C35" s="45"/>
      <c r="D35" s="45"/>
      <c r="E35" s="45"/>
      <c r="F35" s="211" t="s">
        <v>82</v>
      </c>
      <c r="G35" s="211"/>
      <c r="H35" s="211" t="s">
        <v>85</v>
      </c>
      <c r="I35" s="211"/>
      <c r="J35" s="212" t="s">
        <v>86</v>
      </c>
      <c r="K35" s="213"/>
      <c r="L35" s="212" t="s">
        <v>87</v>
      </c>
      <c r="M35" s="213"/>
    </row>
    <row r="36" spans="2:14" x14ac:dyDescent="0.25">
      <c r="B36" s="46" t="s">
        <v>90</v>
      </c>
      <c r="C36" s="47"/>
      <c r="D36" s="47"/>
      <c r="E36" s="47"/>
      <c r="F36" s="48" t="s">
        <v>83</v>
      </c>
      <c r="G36" s="48" t="s">
        <v>84</v>
      </c>
      <c r="H36" s="48" t="s">
        <v>83</v>
      </c>
      <c r="I36" s="48" t="s">
        <v>84</v>
      </c>
      <c r="J36" s="214"/>
      <c r="K36" s="215"/>
      <c r="L36" s="214"/>
      <c r="M36" s="215"/>
    </row>
    <row r="37" spans="2:14" ht="13" x14ac:dyDescent="0.3">
      <c r="B37" s="62" t="s">
        <v>38</v>
      </c>
      <c r="C37" s="45"/>
      <c r="D37" s="45"/>
      <c r="E37" s="63"/>
      <c r="F37" s="60">
        <f>'Beregning, komm.tilskudd'!C51+'Beregning, komm.tilskudd'!C55</f>
        <v>130.15000032480549</v>
      </c>
      <c r="G37" s="60">
        <f>G43/45/48</f>
        <v>133.10185185185185</v>
      </c>
      <c r="H37" s="60"/>
      <c r="I37" s="60">
        <f>'Beregning, komm.tilskudd'!C59</f>
        <v>0</v>
      </c>
      <c r="J37" s="217">
        <f>F37+I37</f>
        <v>130.15000032480549</v>
      </c>
      <c r="K37" s="218"/>
      <c r="L37" s="217">
        <f>G37+I37-J37</f>
        <v>2.9518515270463581</v>
      </c>
      <c r="M37" s="218"/>
      <c r="N37" s="49"/>
    </row>
    <row r="38" spans="2:14" x14ac:dyDescent="0.25">
      <c r="B38" s="64" t="s">
        <v>39</v>
      </c>
      <c r="C38" s="47"/>
      <c r="D38" s="47"/>
      <c r="E38" s="65"/>
      <c r="F38" s="60">
        <f>'Beregning, komm.tilskudd'!C52+'Beregning, komm.tilskudd'!C56</f>
        <v>66.058265525671558</v>
      </c>
      <c r="G38" s="60">
        <f>G44/45/48</f>
        <v>67.361111111111114</v>
      </c>
      <c r="H38" s="60">
        <f>H37</f>
        <v>0</v>
      </c>
      <c r="I38" s="60">
        <f>'Beregning, komm.tilskudd'!C60</f>
        <v>0</v>
      </c>
      <c r="J38" s="217">
        <f>F38+I38</f>
        <v>66.058265525671558</v>
      </c>
      <c r="K38" s="218"/>
      <c r="L38" s="217">
        <f>G38+I38-J38</f>
        <v>1.302845585439556</v>
      </c>
      <c r="M38" s="218"/>
    </row>
    <row r="41" spans="2:14" ht="13" x14ac:dyDescent="0.3">
      <c r="B41" s="44" t="s">
        <v>81</v>
      </c>
      <c r="C41" s="45"/>
      <c r="D41" s="45"/>
      <c r="E41" s="45"/>
      <c r="F41" s="211" t="s">
        <v>82</v>
      </c>
      <c r="G41" s="211"/>
      <c r="H41" s="211" t="s">
        <v>85</v>
      </c>
      <c r="I41" s="211"/>
      <c r="J41" s="212" t="s">
        <v>92</v>
      </c>
      <c r="K41" s="213"/>
      <c r="L41" s="212" t="s">
        <v>87</v>
      </c>
      <c r="M41" s="213"/>
    </row>
    <row r="42" spans="2:14" ht="13" x14ac:dyDescent="0.3">
      <c r="B42" s="53" t="s">
        <v>91</v>
      </c>
      <c r="C42" s="47"/>
      <c r="D42" s="47"/>
      <c r="E42" s="47"/>
      <c r="F42" s="48" t="s">
        <v>83</v>
      </c>
      <c r="G42" s="48" t="s">
        <v>84</v>
      </c>
      <c r="H42" s="48" t="s">
        <v>83</v>
      </c>
      <c r="I42" s="48" t="s">
        <v>84</v>
      </c>
      <c r="J42" s="214"/>
      <c r="K42" s="215"/>
      <c r="L42" s="214"/>
      <c r="M42" s="215"/>
    </row>
    <row r="43" spans="2:14" ht="13" x14ac:dyDescent="0.3">
      <c r="B43" s="66" t="s">
        <v>38</v>
      </c>
      <c r="C43" s="67"/>
      <c r="D43" s="68"/>
      <c r="E43" s="63"/>
      <c r="F43" s="61">
        <f>F37*2160</f>
        <v>281124.00070157985</v>
      </c>
      <c r="G43" s="61">
        <f>'Beregning, komm.tilskudd'!C63-'Beregning, komm.tilskudd'!B59</f>
        <v>287500</v>
      </c>
      <c r="H43" s="61">
        <f>H37*2160</f>
        <v>0</v>
      </c>
      <c r="I43" s="61">
        <f>'Beregning, komm.tilskudd'!B59</f>
        <v>0</v>
      </c>
      <c r="J43" s="219">
        <f>F43+I43</f>
        <v>281124.00070157985</v>
      </c>
      <c r="K43" s="219"/>
      <c r="L43" s="220">
        <f>G43+I43-J43</f>
        <v>6375.9992984201526</v>
      </c>
      <c r="M43" s="220"/>
      <c r="N43" s="49"/>
    </row>
    <row r="44" spans="2:14" x14ac:dyDescent="0.25">
      <c r="B44" s="69" t="s">
        <v>39</v>
      </c>
      <c r="C44" s="70"/>
      <c r="D44" s="71"/>
      <c r="E44" s="72"/>
      <c r="F44" s="61">
        <f>F38*2160</f>
        <v>142685.85353545056</v>
      </c>
      <c r="G44" s="61">
        <f>'Beregning, komm.tilskudd'!C64-'Beregning, komm.tilskudd'!B60</f>
        <v>145500</v>
      </c>
      <c r="H44" s="61">
        <f>H38*2160</f>
        <v>0</v>
      </c>
      <c r="I44" s="61">
        <f>'Beregning, komm.tilskudd'!B60</f>
        <v>0</v>
      </c>
      <c r="J44" s="219">
        <f>F44+I44</f>
        <v>142685.85353545056</v>
      </c>
      <c r="K44" s="219"/>
      <c r="L44" s="220">
        <f>G44+I44-J44</f>
        <v>2814.1464645494416</v>
      </c>
      <c r="M44" s="220"/>
    </row>
    <row r="46" spans="2:14" x14ac:dyDescent="0.25">
      <c r="B46" s="14" t="s">
        <v>93</v>
      </c>
    </row>
    <row r="48" spans="2:14" x14ac:dyDescent="0.25">
      <c r="B48" s="92"/>
      <c r="C48" s="45"/>
      <c r="D48" s="45"/>
      <c r="E48" s="63"/>
      <c r="F48" s="93">
        <v>2023</v>
      </c>
      <c r="G48" s="93">
        <f>F48+1</f>
        <v>2024</v>
      </c>
    </row>
    <row r="49" spans="2:7" ht="15.5" x14ac:dyDescent="0.35">
      <c r="B49" s="94" t="s">
        <v>102</v>
      </c>
      <c r="C49" s="47"/>
      <c r="D49" s="47"/>
      <c r="E49" s="65"/>
      <c r="F49" s="210">
        <v>1.0449999999999999</v>
      </c>
      <c r="G49" s="210">
        <v>1.0429999999999999</v>
      </c>
    </row>
  </sheetData>
  <sheetProtection algorithmName="SHA-512" hashValue="2fS3HVEYpIoWs4vsSVj8XpOmqWIS4amB57i4sAS1HPKG8GvxFf+f/IgThrF4iNUPkFTsNcFmkAyVq0pm1JvMEw==" saltValue="mTeV8R0MLh6sNQeneDxUKw==" spinCount="100000" sheet="1" objects="1" scenarios="1"/>
  <mergeCells count="17">
    <mergeCell ref="L35:M36"/>
    <mergeCell ref="L37:M37"/>
    <mergeCell ref="L38:M38"/>
    <mergeCell ref="L41:M42"/>
    <mergeCell ref="J44:K44"/>
    <mergeCell ref="L44:M44"/>
    <mergeCell ref="J43:K43"/>
    <mergeCell ref="L43:M43"/>
    <mergeCell ref="F41:G41"/>
    <mergeCell ref="H41:I41"/>
    <mergeCell ref="J41:K42"/>
    <mergeCell ref="B7:B12"/>
    <mergeCell ref="F35:G35"/>
    <mergeCell ref="H35:I35"/>
    <mergeCell ref="J35:K36"/>
    <mergeCell ref="J38:K38"/>
    <mergeCell ref="J37:K37"/>
  </mergeCells>
  <phoneticPr fontId="29" type="noConversion"/>
  <hyperlinks>
    <hyperlink ref="F31" r:id="rId1" xr:uid="{00000000-0004-0000-0200-000000000000}"/>
  </hyperlinks>
  <pageMargins left="0.7" right="0.7" top="0.75" bottom="0.75" header="0.3" footer="0.3"/>
  <pageSetup paperSize="9" scale="7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K330"/>
  <sheetViews>
    <sheetView zoomScaleNormal="100" workbookViewId="0">
      <pane ySplit="4" topLeftCell="A6" activePane="bottomLeft" state="frozen"/>
      <selection pane="bottomLeft"/>
    </sheetView>
  </sheetViews>
  <sheetFormatPr baseColWidth="10" defaultColWidth="9.1796875" defaultRowHeight="12.5" x14ac:dyDescent="0.25"/>
  <cols>
    <col min="1" max="1" width="51.1796875" style="14" bestFit="1" customWidth="1"/>
    <col min="2" max="3" width="13.7265625" style="4" customWidth="1"/>
    <col min="4" max="12" width="13.7265625" style="1" customWidth="1"/>
    <col min="13" max="13" width="14.81640625" style="140" customWidth="1"/>
    <col min="14" max="14" width="13.453125" style="168" customWidth="1"/>
    <col min="15" max="15" width="14.81640625" style="172" bestFit="1" customWidth="1"/>
    <col min="16" max="37" width="9.1796875" style="14" customWidth="1"/>
  </cols>
  <sheetData>
    <row r="1" spans="1:15" x14ac:dyDescent="0.25"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</row>
    <row r="2" spans="1:15" ht="39.5" x14ac:dyDescent="0.75">
      <c r="B2" s="18"/>
      <c r="C2" s="18"/>
      <c r="D2" s="20" t="s">
        <v>75</v>
      </c>
      <c r="E2" s="19"/>
      <c r="F2" s="19"/>
      <c r="G2" s="19"/>
      <c r="H2" s="19"/>
      <c r="I2" s="19"/>
      <c r="J2" s="19"/>
      <c r="K2" s="19"/>
      <c r="L2" s="19"/>
    </row>
    <row r="3" spans="1:15" x14ac:dyDescent="0.25"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</row>
    <row r="4" spans="1:15" ht="13" thickBot="1" x14ac:dyDescent="0.3"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</row>
    <row r="5" spans="1:15" s="16" customFormat="1" ht="13" x14ac:dyDescent="0.3">
      <c r="A5" s="97" t="s">
        <v>333</v>
      </c>
      <c r="B5" s="21" t="s">
        <v>42</v>
      </c>
      <c r="C5" s="21" t="s">
        <v>3</v>
      </c>
      <c r="D5" s="21" t="s">
        <v>4</v>
      </c>
      <c r="E5" s="21" t="s">
        <v>89</v>
      </c>
      <c r="F5" s="21" t="s">
        <v>5</v>
      </c>
      <c r="G5" s="21" t="s">
        <v>6</v>
      </c>
      <c r="H5" s="21" t="s">
        <v>47</v>
      </c>
      <c r="I5" s="21" t="s">
        <v>48</v>
      </c>
      <c r="J5" s="21" t="s">
        <v>49</v>
      </c>
      <c r="K5" s="21" t="s">
        <v>265</v>
      </c>
      <c r="L5" s="21" t="s">
        <v>104</v>
      </c>
      <c r="M5" s="141"/>
      <c r="N5" s="169"/>
      <c r="O5" s="173"/>
    </row>
    <row r="6" spans="1:15" s="23" customFormat="1" ht="78" customHeight="1" x14ac:dyDescent="0.25">
      <c r="A6" s="17" t="s">
        <v>77</v>
      </c>
      <c r="B6" s="22" t="s">
        <v>207</v>
      </c>
      <c r="C6" s="22" t="s">
        <v>100</v>
      </c>
      <c r="D6" s="22" t="s">
        <v>289</v>
      </c>
      <c r="E6" s="22" t="s">
        <v>79</v>
      </c>
      <c r="F6" s="22" t="s">
        <v>298</v>
      </c>
      <c r="G6" s="22" t="s">
        <v>88</v>
      </c>
      <c r="H6" s="22" t="s">
        <v>103</v>
      </c>
      <c r="I6" s="22" t="s">
        <v>336</v>
      </c>
      <c r="J6" s="22" t="s">
        <v>46</v>
      </c>
      <c r="K6" s="22" t="s">
        <v>268</v>
      </c>
      <c r="L6" s="22" t="s">
        <v>231</v>
      </c>
      <c r="M6" s="142" t="s">
        <v>125</v>
      </c>
      <c r="N6" s="170"/>
      <c r="O6" s="174"/>
    </row>
    <row r="7" spans="1:15" x14ac:dyDescent="0.25">
      <c r="A7" s="15" t="s">
        <v>274</v>
      </c>
      <c r="B7" s="202">
        <v>750000</v>
      </c>
      <c r="C7" s="202">
        <v>173000</v>
      </c>
      <c r="D7" s="135"/>
      <c r="E7" s="135"/>
      <c r="F7" s="135"/>
      <c r="G7" s="135">
        <f>C7*-1</f>
        <v>-173000</v>
      </c>
      <c r="H7" s="135">
        <v>-60000</v>
      </c>
      <c r="I7" s="135">
        <v>67889.5</v>
      </c>
      <c r="J7" s="24">
        <f t="shared" ref="J7:J43" si="0">SUM(B7:I7)</f>
        <v>757889.5</v>
      </c>
      <c r="K7" s="135"/>
      <c r="L7" s="135"/>
      <c r="M7" s="140">
        <f t="shared" ref="M7:M38" si="1">B7+C7+D7+K7+L7</f>
        <v>923000</v>
      </c>
      <c r="N7" s="199"/>
      <c r="O7" s="174"/>
    </row>
    <row r="8" spans="1:15" x14ac:dyDescent="0.25">
      <c r="A8" s="15" t="s">
        <v>313</v>
      </c>
      <c r="B8" s="202"/>
      <c r="C8" s="202">
        <v>3222687.2000000007</v>
      </c>
      <c r="D8" s="135"/>
      <c r="E8" s="135"/>
      <c r="F8" s="135"/>
      <c r="G8" s="135">
        <f t="shared" ref="G8:G46" si="2">C8*-1</f>
        <v>-3222687.2000000007</v>
      </c>
      <c r="H8" s="135"/>
      <c r="I8" s="135"/>
      <c r="J8" s="24">
        <f t="shared" si="0"/>
        <v>0</v>
      </c>
      <c r="K8" s="135"/>
      <c r="L8" s="135"/>
      <c r="M8" s="140">
        <f>B8+C8+D8+K8+L8</f>
        <v>3222687.2000000007</v>
      </c>
      <c r="N8" s="199"/>
      <c r="O8" s="174"/>
    </row>
    <row r="9" spans="1:15" x14ac:dyDescent="0.25">
      <c r="A9" s="15" t="s">
        <v>178</v>
      </c>
      <c r="B9" s="202">
        <v>11699.119999999999</v>
      </c>
      <c r="C9" s="202">
        <v>379808.75</v>
      </c>
      <c r="D9" s="135"/>
      <c r="E9" s="135">
        <v>-5980.62</v>
      </c>
      <c r="F9" s="135"/>
      <c r="G9" s="135">
        <f t="shared" si="2"/>
        <v>-379808.75</v>
      </c>
      <c r="H9" s="135"/>
      <c r="I9" s="135"/>
      <c r="J9" s="24">
        <f t="shared" si="0"/>
        <v>5718.5</v>
      </c>
      <c r="K9" s="135"/>
      <c r="L9" s="135"/>
      <c r="M9" s="140">
        <f t="shared" si="1"/>
        <v>391507.87</v>
      </c>
      <c r="N9" s="199"/>
      <c r="O9" s="174"/>
    </row>
    <row r="10" spans="1:15" x14ac:dyDescent="0.25">
      <c r="A10" s="15" t="s">
        <v>179</v>
      </c>
      <c r="B10" s="202"/>
      <c r="C10" s="202">
        <v>13497261.050000004</v>
      </c>
      <c r="D10" s="135"/>
      <c r="E10" s="135"/>
      <c r="F10" s="135"/>
      <c r="G10" s="135">
        <f t="shared" si="2"/>
        <v>-13497261.050000004</v>
      </c>
      <c r="H10" s="135"/>
      <c r="I10" s="135"/>
      <c r="J10" s="24">
        <f t="shared" si="0"/>
        <v>0</v>
      </c>
      <c r="K10" s="135"/>
      <c r="L10" s="135"/>
      <c r="M10" s="140">
        <f t="shared" si="1"/>
        <v>13497261.050000004</v>
      </c>
      <c r="N10" s="199"/>
      <c r="O10" s="174"/>
    </row>
    <row r="11" spans="1:15" x14ac:dyDescent="0.25">
      <c r="A11" s="15" t="s">
        <v>1</v>
      </c>
      <c r="B11" s="202">
        <v>2318604.98</v>
      </c>
      <c r="C11" s="202">
        <v>158731</v>
      </c>
      <c r="D11" s="135">
        <v>911255.88</v>
      </c>
      <c r="E11" s="135">
        <v>-6927.32</v>
      </c>
      <c r="F11" s="135">
        <v>-90513.543665919293</v>
      </c>
      <c r="G11" s="135">
        <f t="shared" si="2"/>
        <v>-158731</v>
      </c>
      <c r="H11" s="135"/>
      <c r="I11" s="135"/>
      <c r="J11" s="24">
        <f t="shared" si="0"/>
        <v>3132419.9963340806</v>
      </c>
      <c r="K11" s="135">
        <v>7814877</v>
      </c>
      <c r="L11" s="135">
        <v>-2223299.9699999997</v>
      </c>
      <c r="M11" s="140">
        <f>B11+C11+D11+K11+L11</f>
        <v>8980168.8900000006</v>
      </c>
      <c r="N11" s="199"/>
      <c r="O11" s="200"/>
    </row>
    <row r="12" spans="1:15" x14ac:dyDescent="0.25">
      <c r="A12" s="15" t="s">
        <v>180</v>
      </c>
      <c r="B12" s="202">
        <v>6354724.5500000017</v>
      </c>
      <c r="C12" s="202">
        <v>156727.55999999997</v>
      </c>
      <c r="D12" s="135">
        <v>71661.25</v>
      </c>
      <c r="E12" s="135"/>
      <c r="F12" s="135"/>
      <c r="G12" s="135">
        <f t="shared" si="2"/>
        <v>-156727.55999999997</v>
      </c>
      <c r="H12" s="135">
        <v>-465779.11</v>
      </c>
      <c r="I12" s="135">
        <v>545317.63024200022</v>
      </c>
      <c r="J12" s="24">
        <f>SUM(B12:I12)</f>
        <v>6505924.3202420017</v>
      </c>
      <c r="K12" s="135">
        <v>-1709762</v>
      </c>
      <c r="L12" s="135">
        <v>-221930</v>
      </c>
      <c r="M12" s="140">
        <f>B12+C12+D12+K12+L12</f>
        <v>4651421.3600000013</v>
      </c>
      <c r="N12" s="199"/>
      <c r="O12" s="200"/>
    </row>
    <row r="13" spans="1:15" x14ac:dyDescent="0.25">
      <c r="A13" s="15" t="s">
        <v>181</v>
      </c>
      <c r="B13" s="202">
        <v>6260819.0999999987</v>
      </c>
      <c r="C13" s="202">
        <v>8731.7399999999907</v>
      </c>
      <c r="D13" s="135">
        <v>33032.520000000004</v>
      </c>
      <c r="E13" s="135"/>
      <c r="F13" s="135"/>
      <c r="G13" s="135">
        <f t="shared" si="2"/>
        <v>-8731.7399999999907</v>
      </c>
      <c r="H13" s="135">
        <v>-482068.07</v>
      </c>
      <c r="I13" s="135">
        <v>562228.12995300035</v>
      </c>
      <c r="J13" s="24">
        <f>SUM(B13:I13)</f>
        <v>6374011.6799529986</v>
      </c>
      <c r="K13" s="135">
        <v>-1325358</v>
      </c>
      <c r="L13" s="135">
        <v>-4000</v>
      </c>
      <c r="M13" s="140">
        <f>B13+C13+D13+K13+L13</f>
        <v>4973225.3599999985</v>
      </c>
      <c r="N13" s="199"/>
      <c r="O13" s="200"/>
    </row>
    <row r="14" spans="1:15" x14ac:dyDescent="0.25">
      <c r="A14" s="15" t="s">
        <v>182</v>
      </c>
      <c r="B14" s="202">
        <v>7172871.9400000023</v>
      </c>
      <c r="C14" s="202">
        <v>148229.57999999999</v>
      </c>
      <c r="D14" s="135">
        <v>93224.12999999999</v>
      </c>
      <c r="E14" s="135"/>
      <c r="F14" s="135"/>
      <c r="G14" s="135">
        <f t="shared" si="2"/>
        <v>-148229.57999999999</v>
      </c>
      <c r="H14" s="135">
        <v>-556400.57999999996</v>
      </c>
      <c r="I14" s="135">
        <v>651907.65838100028</v>
      </c>
      <c r="J14" s="24">
        <f t="shared" si="0"/>
        <v>7361603.1483810022</v>
      </c>
      <c r="K14" s="204">
        <v>-1445021</v>
      </c>
      <c r="L14" s="135">
        <v>-301126</v>
      </c>
      <c r="M14" s="140">
        <f t="shared" si="1"/>
        <v>5668178.6500000022</v>
      </c>
      <c r="N14" s="199"/>
      <c r="O14" s="200"/>
    </row>
    <row r="15" spans="1:15" x14ac:dyDescent="0.25">
      <c r="A15" s="15" t="s">
        <v>183</v>
      </c>
      <c r="B15" s="202">
        <v>7657843.9099999964</v>
      </c>
      <c r="C15" s="202">
        <v>678359.3</v>
      </c>
      <c r="D15" s="135">
        <v>13859.76</v>
      </c>
      <c r="E15" s="135"/>
      <c r="F15" s="135"/>
      <c r="G15" s="135">
        <f t="shared" si="2"/>
        <v>-678359.3</v>
      </c>
      <c r="H15" s="135">
        <v>-631424.5199999999</v>
      </c>
      <c r="I15" s="135">
        <v>750777.93154000014</v>
      </c>
      <c r="J15" s="24">
        <f t="shared" si="0"/>
        <v>7791057.0815399969</v>
      </c>
      <c r="K15" s="135">
        <v>-1575470</v>
      </c>
      <c r="L15" s="135">
        <v>-122000</v>
      </c>
      <c r="M15" s="140">
        <f t="shared" si="1"/>
        <v>6652592.969999996</v>
      </c>
      <c r="N15" s="199"/>
      <c r="O15" s="200"/>
    </row>
    <row r="16" spans="1:15" x14ac:dyDescent="0.25">
      <c r="A16" s="15" t="s">
        <v>184</v>
      </c>
      <c r="B16" s="202">
        <v>13594059.130000001</v>
      </c>
      <c r="C16" s="202">
        <v>2898064.4100000011</v>
      </c>
      <c r="D16" s="135">
        <v>97246.430000000008</v>
      </c>
      <c r="E16" s="135"/>
      <c r="F16" s="135"/>
      <c r="G16" s="135">
        <f t="shared" si="2"/>
        <v>-2898064.4100000011</v>
      </c>
      <c r="H16" s="135">
        <v>-1053397.4799999997</v>
      </c>
      <c r="I16" s="135">
        <v>1241557.4150909998</v>
      </c>
      <c r="J16" s="24">
        <f t="shared" si="0"/>
        <v>13879465.495091002</v>
      </c>
      <c r="K16" s="135">
        <v>-2900294</v>
      </c>
      <c r="L16" s="135">
        <v>-393925</v>
      </c>
      <c r="M16" s="140">
        <f>B16+C16+D16+K16+L16</f>
        <v>13295150.970000003</v>
      </c>
      <c r="N16" s="199"/>
      <c r="O16" s="200"/>
    </row>
    <row r="17" spans="1:15" x14ac:dyDescent="0.25">
      <c r="A17" s="15" t="s">
        <v>185</v>
      </c>
      <c r="B17" s="202">
        <v>12321144.580000004</v>
      </c>
      <c r="C17" s="202">
        <v>809652.80999999994</v>
      </c>
      <c r="D17" s="135">
        <v>59512.89</v>
      </c>
      <c r="E17" s="135"/>
      <c r="F17" s="135"/>
      <c r="G17" s="135">
        <f t="shared" si="2"/>
        <v>-809652.80999999994</v>
      </c>
      <c r="H17" s="135">
        <v>-920229.83</v>
      </c>
      <c r="I17" s="135">
        <v>1105954.8068450002</v>
      </c>
      <c r="J17" s="24">
        <f t="shared" si="0"/>
        <v>12566382.446845004</v>
      </c>
      <c r="K17" s="135">
        <v>-2772910</v>
      </c>
      <c r="L17" s="135">
        <v>-222700.57</v>
      </c>
      <c r="M17" s="140">
        <f t="shared" si="1"/>
        <v>10194699.710000005</v>
      </c>
      <c r="N17" s="199"/>
      <c r="O17" s="200"/>
    </row>
    <row r="18" spans="1:15" x14ac:dyDescent="0.25">
      <c r="A18" s="15" t="s">
        <v>186</v>
      </c>
      <c r="B18" s="202">
        <v>5957852.1600000039</v>
      </c>
      <c r="C18" s="202">
        <v>4626614.5799999991</v>
      </c>
      <c r="D18" s="135">
        <v>150798.1</v>
      </c>
      <c r="E18" s="135"/>
      <c r="F18" s="135"/>
      <c r="G18" s="135">
        <f t="shared" si="2"/>
        <v>-4626614.5799999991</v>
      </c>
      <c r="H18" s="135">
        <v>-516861.62999999995</v>
      </c>
      <c r="I18" s="135">
        <v>601188.75018300046</v>
      </c>
      <c r="J18" s="24">
        <f t="shared" si="0"/>
        <v>6192977.3801830029</v>
      </c>
      <c r="K18" s="135">
        <v>-1425520</v>
      </c>
      <c r="L18" s="135">
        <v>-179000</v>
      </c>
      <c r="M18" s="140">
        <f t="shared" si="1"/>
        <v>9130744.8400000017</v>
      </c>
      <c r="N18" s="199"/>
      <c r="O18" s="200"/>
    </row>
    <row r="19" spans="1:15" x14ac:dyDescent="0.25">
      <c r="A19" s="15" t="s">
        <v>187</v>
      </c>
      <c r="B19" s="202">
        <v>6657496.4700000016</v>
      </c>
      <c r="C19" s="202">
        <v>201563.9</v>
      </c>
      <c r="D19" s="135">
        <v>18063.98</v>
      </c>
      <c r="E19" s="135"/>
      <c r="F19" s="135"/>
      <c r="G19" s="135">
        <f t="shared" si="2"/>
        <v>-201563.9</v>
      </c>
      <c r="H19" s="135">
        <v>-535643.65</v>
      </c>
      <c r="I19" s="135">
        <v>639172.61964499997</v>
      </c>
      <c r="J19" s="24">
        <f t="shared" si="0"/>
        <v>6779089.4196450021</v>
      </c>
      <c r="K19" s="135">
        <v>-1513751</v>
      </c>
      <c r="L19" s="135">
        <v>-43150</v>
      </c>
      <c r="M19" s="140">
        <f>B19+C19+D19+K19+L19</f>
        <v>5320223.3500000024</v>
      </c>
      <c r="N19" s="199"/>
      <c r="O19" s="200"/>
    </row>
    <row r="20" spans="1:15" x14ac:dyDescent="0.25">
      <c r="A20" s="15" t="s">
        <v>188</v>
      </c>
      <c r="B20" s="202">
        <v>4860415.3299999982</v>
      </c>
      <c r="C20" s="202">
        <v>3161856.7</v>
      </c>
      <c r="D20" s="135">
        <v>50452.89</v>
      </c>
      <c r="E20" s="135"/>
      <c r="F20" s="135"/>
      <c r="G20" s="135">
        <f t="shared" si="2"/>
        <v>-3161856.7</v>
      </c>
      <c r="H20" s="135">
        <v>-460162.11000000004</v>
      </c>
      <c r="I20" s="135">
        <v>551213.4579279999</v>
      </c>
      <c r="J20" s="24">
        <f t="shared" si="0"/>
        <v>5001919.5679279976</v>
      </c>
      <c r="K20" s="135">
        <v>-982008</v>
      </c>
      <c r="L20" s="135">
        <v>-38010.729999999996</v>
      </c>
      <c r="M20" s="140">
        <f t="shared" si="1"/>
        <v>7052706.1899999976</v>
      </c>
      <c r="N20" s="199"/>
      <c r="O20" s="200"/>
    </row>
    <row r="21" spans="1:15" x14ac:dyDescent="0.25">
      <c r="A21" s="15" t="s">
        <v>189</v>
      </c>
      <c r="B21" s="202">
        <v>11651246.460000005</v>
      </c>
      <c r="C21" s="202">
        <v>395125.33999999997</v>
      </c>
      <c r="D21" s="135">
        <v>39679.120000000003</v>
      </c>
      <c r="E21" s="135">
        <v>-49082.12</v>
      </c>
      <c r="F21" s="135"/>
      <c r="G21" s="135">
        <f t="shared" si="2"/>
        <v>-395125.33999999997</v>
      </c>
      <c r="H21" s="135">
        <v>-911988.95000000007</v>
      </c>
      <c r="I21" s="135">
        <v>1065476.4386840004</v>
      </c>
      <c r="J21" s="24">
        <f t="shared" si="0"/>
        <v>11795330.948684005</v>
      </c>
      <c r="K21" s="135">
        <v>-2808289</v>
      </c>
      <c r="L21" s="135">
        <v>-250316.75</v>
      </c>
      <c r="M21" s="140">
        <f t="shared" si="1"/>
        <v>9027445.1700000037</v>
      </c>
      <c r="N21" s="199"/>
      <c r="O21" s="200"/>
    </row>
    <row r="22" spans="1:15" x14ac:dyDescent="0.25">
      <c r="A22" s="15" t="s">
        <v>190</v>
      </c>
      <c r="B22" s="202">
        <v>11321203.689999999</v>
      </c>
      <c r="C22" s="202">
        <v>479234.74</v>
      </c>
      <c r="D22" s="135">
        <v>6159.6</v>
      </c>
      <c r="E22" s="135"/>
      <c r="F22" s="135"/>
      <c r="G22" s="135">
        <f t="shared" si="2"/>
        <v>-479234.74</v>
      </c>
      <c r="H22" s="135">
        <v>-864471</v>
      </c>
      <c r="I22" s="135">
        <v>1014891.7782640003</v>
      </c>
      <c r="J22" s="24">
        <f t="shared" si="0"/>
        <v>11477784.068264</v>
      </c>
      <c r="K22" s="135">
        <v>-2767426</v>
      </c>
      <c r="L22" s="135">
        <v>-314303</v>
      </c>
      <c r="M22" s="140">
        <f t="shared" si="1"/>
        <v>8724869.0299999993</v>
      </c>
      <c r="N22" s="199"/>
      <c r="O22" s="200"/>
    </row>
    <row r="23" spans="1:15" x14ac:dyDescent="0.25">
      <c r="A23" s="15" t="s">
        <v>191</v>
      </c>
      <c r="B23" s="202">
        <v>12658938.049999997</v>
      </c>
      <c r="C23" s="202">
        <v>571538.85000000021</v>
      </c>
      <c r="D23" s="135">
        <v>128571.77999999998</v>
      </c>
      <c r="E23" s="135">
        <v>-15051.43</v>
      </c>
      <c r="F23" s="135"/>
      <c r="G23" s="135">
        <f t="shared" si="2"/>
        <v>-571538.85000000021</v>
      </c>
      <c r="H23" s="135">
        <v>-1004275.15</v>
      </c>
      <c r="I23" s="135">
        <v>1193982.6156859999</v>
      </c>
      <c r="J23" s="24">
        <f t="shared" si="0"/>
        <v>12962165.865685996</v>
      </c>
      <c r="K23" s="135">
        <v>-2759854</v>
      </c>
      <c r="L23" s="135">
        <v>-164000</v>
      </c>
      <c r="M23" s="140">
        <f t="shared" si="1"/>
        <v>10435194.679999996</v>
      </c>
      <c r="N23" s="199"/>
      <c r="O23" s="200"/>
    </row>
    <row r="24" spans="1:15" x14ac:dyDescent="0.25">
      <c r="A24" s="15" t="s">
        <v>192</v>
      </c>
      <c r="B24" s="202">
        <v>9784365.4799999986</v>
      </c>
      <c r="C24" s="202">
        <v>121945.38</v>
      </c>
      <c r="D24" s="135">
        <v>117835.45999999999</v>
      </c>
      <c r="E24" s="135"/>
      <c r="F24" s="135"/>
      <c r="G24" s="135">
        <f t="shared" si="2"/>
        <v>-121945.38</v>
      </c>
      <c r="H24" s="135">
        <v>-819314.24</v>
      </c>
      <c r="I24" s="135">
        <v>948539.56924300001</v>
      </c>
      <c r="J24" s="24">
        <f t="shared" si="0"/>
        <v>10031426.269243</v>
      </c>
      <c r="K24" s="135">
        <v>-2207217</v>
      </c>
      <c r="L24" s="135">
        <v>-108000</v>
      </c>
      <c r="M24" s="140">
        <f t="shared" si="1"/>
        <v>7708929.3200000003</v>
      </c>
      <c r="N24" s="199"/>
      <c r="O24" s="200"/>
    </row>
    <row r="25" spans="1:15" x14ac:dyDescent="0.25">
      <c r="A25" s="15" t="s">
        <v>193</v>
      </c>
      <c r="B25" s="202">
        <v>7774039.3000000026</v>
      </c>
      <c r="C25" s="202">
        <v>322282.56</v>
      </c>
      <c r="D25" s="135">
        <v>101776.02</v>
      </c>
      <c r="E25" s="135"/>
      <c r="F25" s="135"/>
      <c r="G25" s="135">
        <f t="shared" si="2"/>
        <v>-322282.56</v>
      </c>
      <c r="H25" s="135">
        <v>-616142.17999999993</v>
      </c>
      <c r="I25" s="135">
        <v>723769.86479699996</v>
      </c>
      <c r="J25" s="24">
        <f t="shared" si="0"/>
        <v>7983443.0047970023</v>
      </c>
      <c r="K25" s="135">
        <v>-1721774</v>
      </c>
      <c r="L25" s="135">
        <v>-266500</v>
      </c>
      <c r="M25" s="140">
        <f t="shared" si="1"/>
        <v>6209823.8800000018</v>
      </c>
      <c r="N25" s="199"/>
      <c r="O25" s="200"/>
    </row>
    <row r="26" spans="1:15" x14ac:dyDescent="0.25">
      <c r="A26" s="15" t="s">
        <v>194</v>
      </c>
      <c r="B26" s="202">
        <v>7258989.6599999992</v>
      </c>
      <c r="C26" s="202">
        <v>502704.39999999991</v>
      </c>
      <c r="D26" s="135">
        <v>12417.75</v>
      </c>
      <c r="E26" s="135"/>
      <c r="F26" s="135"/>
      <c r="G26" s="135">
        <f t="shared" si="2"/>
        <v>-502704.39999999991</v>
      </c>
      <c r="H26" s="135">
        <v>-573398.88</v>
      </c>
      <c r="I26" s="135">
        <v>674064.96329899994</v>
      </c>
      <c r="J26" s="24">
        <f t="shared" si="0"/>
        <v>7372073.4932989981</v>
      </c>
      <c r="K26" s="135">
        <v>-1407996</v>
      </c>
      <c r="L26" s="135">
        <v>-191805.43</v>
      </c>
      <c r="M26" s="140">
        <f t="shared" si="1"/>
        <v>6174310.379999999</v>
      </c>
      <c r="N26" s="199"/>
      <c r="O26" s="200"/>
    </row>
    <row r="27" spans="1:15" x14ac:dyDescent="0.25">
      <c r="A27" s="15" t="s">
        <v>195</v>
      </c>
      <c r="B27" s="202">
        <v>7804552.9900000021</v>
      </c>
      <c r="C27" s="203">
        <v>736365.79000000015</v>
      </c>
      <c r="D27" s="135">
        <v>75369.14</v>
      </c>
      <c r="E27" s="135">
        <v>-55332.46</v>
      </c>
      <c r="F27" s="135"/>
      <c r="G27" s="135">
        <f t="shared" si="2"/>
        <v>-736365.79000000015</v>
      </c>
      <c r="H27" s="135">
        <v>-635221.49</v>
      </c>
      <c r="I27" s="135">
        <v>745772.35313000006</v>
      </c>
      <c r="J27" s="24">
        <f t="shared" si="0"/>
        <v>7935140.5331300022</v>
      </c>
      <c r="K27" s="135">
        <v>-1766300</v>
      </c>
      <c r="L27" s="135">
        <v>-51000</v>
      </c>
      <c r="M27" s="140">
        <f t="shared" si="1"/>
        <v>6798987.9200000037</v>
      </c>
      <c r="N27" s="199"/>
      <c r="O27" s="200"/>
    </row>
    <row r="28" spans="1:15" x14ac:dyDescent="0.25">
      <c r="A28" s="15" t="s">
        <v>196</v>
      </c>
      <c r="B28" s="202">
        <v>6284440.7999999989</v>
      </c>
      <c r="C28" s="202">
        <v>361197.27999999997</v>
      </c>
      <c r="D28" s="135">
        <v>80805.22</v>
      </c>
      <c r="E28" s="135"/>
      <c r="F28" s="135"/>
      <c r="G28" s="135">
        <f t="shared" si="2"/>
        <v>-361197.27999999997</v>
      </c>
      <c r="H28" s="135">
        <v>-455207.94000000006</v>
      </c>
      <c r="I28" s="135">
        <v>540447.55014599999</v>
      </c>
      <c r="J28" s="24">
        <f>SUM(B28:I28)</f>
        <v>6450485.6301459987</v>
      </c>
      <c r="K28" s="135">
        <v>-901235</v>
      </c>
      <c r="L28" s="135">
        <v>-435283</v>
      </c>
      <c r="M28" s="140">
        <f>B28+C28+D28+K28+L28</f>
        <v>5389925.2999999989</v>
      </c>
      <c r="N28" s="199"/>
      <c r="O28" s="200"/>
    </row>
    <row r="29" spans="1:15" x14ac:dyDescent="0.25">
      <c r="A29" s="15" t="s">
        <v>197</v>
      </c>
      <c r="B29" s="202">
        <v>12175795.300000001</v>
      </c>
      <c r="C29" s="202">
        <v>548872.39000000013</v>
      </c>
      <c r="D29" s="135">
        <v>109994.32</v>
      </c>
      <c r="E29" s="135"/>
      <c r="F29" s="135"/>
      <c r="G29" s="135">
        <f t="shared" si="2"/>
        <v>-548872.39000000013</v>
      </c>
      <c r="H29" s="135">
        <v>-973079.74</v>
      </c>
      <c r="I29" s="135">
        <v>1143837.1136150002</v>
      </c>
      <c r="J29" s="24">
        <f t="shared" si="0"/>
        <v>12456546.993615001</v>
      </c>
      <c r="K29" s="135">
        <v>-2721694</v>
      </c>
      <c r="L29" s="135">
        <v>-110000</v>
      </c>
      <c r="M29" s="140">
        <f t="shared" si="1"/>
        <v>10002968.010000002</v>
      </c>
      <c r="N29" s="199"/>
      <c r="O29" s="200"/>
    </row>
    <row r="30" spans="1:15" x14ac:dyDescent="0.25">
      <c r="A30" s="15" t="s">
        <v>198</v>
      </c>
      <c r="B30" s="202">
        <v>11628509.530000011</v>
      </c>
      <c r="C30" s="202">
        <v>406182.45000000007</v>
      </c>
      <c r="D30" s="135">
        <v>89653.73000000001</v>
      </c>
      <c r="E30" s="135"/>
      <c r="F30" s="135"/>
      <c r="G30" s="135">
        <f t="shared" si="2"/>
        <v>-406182.45000000007</v>
      </c>
      <c r="H30" s="135">
        <v>-951243.96000000008</v>
      </c>
      <c r="I30" s="135">
        <v>1121509.6730459998</v>
      </c>
      <c r="J30" s="24">
        <f t="shared" si="0"/>
        <v>11888428.97304601</v>
      </c>
      <c r="K30" s="135">
        <v>-2433700</v>
      </c>
      <c r="L30" s="135">
        <v>-329941</v>
      </c>
      <c r="M30" s="140">
        <f t="shared" si="1"/>
        <v>9360704.7100000102</v>
      </c>
      <c r="N30" s="199"/>
      <c r="O30" s="200"/>
    </row>
    <row r="31" spans="1:15" x14ac:dyDescent="0.25">
      <c r="A31" s="15" t="s">
        <v>199</v>
      </c>
      <c r="B31" s="202">
        <v>13571182.880000006</v>
      </c>
      <c r="C31" s="202">
        <v>947564.76</v>
      </c>
      <c r="D31" s="135">
        <v>108258.27</v>
      </c>
      <c r="E31" s="135"/>
      <c r="F31" s="135"/>
      <c r="G31" s="135">
        <f t="shared" si="2"/>
        <v>-947564.76</v>
      </c>
      <c r="H31" s="135">
        <v>-1036432.17</v>
      </c>
      <c r="I31" s="135">
        <v>1250247.8381680001</v>
      </c>
      <c r="J31" s="24">
        <f t="shared" si="0"/>
        <v>13893256.818168007</v>
      </c>
      <c r="K31" s="135">
        <v>-2844406</v>
      </c>
      <c r="L31" s="135">
        <v>-272000</v>
      </c>
      <c r="M31" s="140">
        <f t="shared" si="1"/>
        <v>11510599.910000006</v>
      </c>
      <c r="N31" s="199"/>
      <c r="O31" s="200"/>
    </row>
    <row r="32" spans="1:15" x14ac:dyDescent="0.25">
      <c r="A32" s="15" t="s">
        <v>200</v>
      </c>
      <c r="B32" s="202">
        <v>5900468.7100000028</v>
      </c>
      <c r="C32" s="202">
        <v>261422.44</v>
      </c>
      <c r="D32" s="135">
        <v>116031.11</v>
      </c>
      <c r="E32" s="135"/>
      <c r="F32" s="135"/>
      <c r="G32" s="135">
        <f t="shared" si="2"/>
        <v>-261422.44</v>
      </c>
      <c r="H32" s="135">
        <v>-464325.20999999996</v>
      </c>
      <c r="I32" s="135">
        <v>551229.73543400003</v>
      </c>
      <c r="J32" s="24">
        <f t="shared" si="0"/>
        <v>6103404.3454340035</v>
      </c>
      <c r="K32" s="135">
        <v>-1255841</v>
      </c>
      <c r="L32" s="135">
        <v>-141000</v>
      </c>
      <c r="M32" s="140">
        <f t="shared" si="1"/>
        <v>4881081.2600000035</v>
      </c>
      <c r="N32" s="199"/>
      <c r="O32" s="200"/>
    </row>
    <row r="33" spans="1:37" x14ac:dyDescent="0.25">
      <c r="A33" s="15" t="s">
        <v>201</v>
      </c>
      <c r="B33" s="202">
        <v>6256465.3300000019</v>
      </c>
      <c r="C33" s="202">
        <v>354867.38</v>
      </c>
      <c r="D33" s="135">
        <v>11131.96</v>
      </c>
      <c r="E33" s="135"/>
      <c r="F33" s="135"/>
      <c r="G33" s="135">
        <f t="shared" si="2"/>
        <v>-354867.38</v>
      </c>
      <c r="H33" s="135">
        <v>-501599.96</v>
      </c>
      <c r="I33" s="135">
        <v>599268.20985500014</v>
      </c>
      <c r="J33" s="24">
        <f t="shared" si="0"/>
        <v>6365265.5398550024</v>
      </c>
      <c r="K33" s="135">
        <v>-1379303</v>
      </c>
      <c r="L33" s="135">
        <v>-77200</v>
      </c>
      <c r="M33" s="140">
        <f t="shared" si="1"/>
        <v>5165961.6700000018</v>
      </c>
      <c r="N33" s="199"/>
      <c r="O33" s="200"/>
    </row>
    <row r="34" spans="1:37" x14ac:dyDescent="0.25">
      <c r="A34" s="15" t="s">
        <v>275</v>
      </c>
      <c r="B34" s="202">
        <v>1854264.29</v>
      </c>
      <c r="C34" s="202">
        <v>93578.599999999977</v>
      </c>
      <c r="D34" s="135">
        <v>-339.56999999999994</v>
      </c>
      <c r="E34" s="135"/>
      <c r="F34" s="135">
        <v>-1853924.72</v>
      </c>
      <c r="G34" s="135">
        <f t="shared" si="2"/>
        <v>-93578.599999999977</v>
      </c>
      <c r="H34" s="135"/>
      <c r="I34" s="135"/>
      <c r="J34" s="24">
        <f>SUM(B34:I34)</f>
        <v>1.1641532182693481E-10</v>
      </c>
      <c r="K34" s="135"/>
      <c r="L34" s="135"/>
      <c r="M34" s="140">
        <f>B34+C34+D34+K34+L34</f>
        <v>1947503.32</v>
      </c>
      <c r="N34" s="199"/>
      <c r="O34" s="200"/>
    </row>
    <row r="35" spans="1:37" x14ac:dyDescent="0.25">
      <c r="A35" s="15" t="s">
        <v>202</v>
      </c>
      <c r="B35" s="202">
        <v>502987.5</v>
      </c>
      <c r="C35" s="202"/>
      <c r="D35" s="135"/>
      <c r="E35" s="135">
        <v>-502987.5</v>
      </c>
      <c r="F35" s="135"/>
      <c r="G35" s="135">
        <f t="shared" si="2"/>
        <v>0</v>
      </c>
      <c r="H35" s="135"/>
      <c r="I35" s="135"/>
      <c r="J35" s="24">
        <f t="shared" si="0"/>
        <v>0</v>
      </c>
      <c r="K35" s="135"/>
      <c r="L35" s="135"/>
      <c r="M35" s="140">
        <f t="shared" si="1"/>
        <v>502987.5</v>
      </c>
      <c r="N35" s="199"/>
      <c r="O35" s="200"/>
    </row>
    <row r="36" spans="1:37" x14ac:dyDescent="0.25">
      <c r="A36" s="15" t="s">
        <v>203</v>
      </c>
      <c r="B36" s="202"/>
      <c r="C36" s="202">
        <v>22713959.77</v>
      </c>
      <c r="D36" s="135"/>
      <c r="E36" s="135"/>
      <c r="F36" s="135"/>
      <c r="G36" s="135">
        <f t="shared" si="2"/>
        <v>-22713959.77</v>
      </c>
      <c r="H36" s="135"/>
      <c r="I36" s="135"/>
      <c r="J36" s="24">
        <f t="shared" si="0"/>
        <v>0</v>
      </c>
      <c r="K36" s="135"/>
      <c r="L36" s="135"/>
      <c r="M36" s="140">
        <f t="shared" si="1"/>
        <v>22713959.77</v>
      </c>
      <c r="N36" s="199"/>
      <c r="O36" s="200"/>
    </row>
    <row r="37" spans="1:37" x14ac:dyDescent="0.25">
      <c r="A37" s="15" t="s">
        <v>204</v>
      </c>
      <c r="B37" s="202"/>
      <c r="C37" s="202">
        <v>376293</v>
      </c>
      <c r="D37" s="135"/>
      <c r="E37" s="135"/>
      <c r="F37" s="135"/>
      <c r="G37" s="135">
        <f t="shared" si="2"/>
        <v>-376293</v>
      </c>
      <c r="H37" s="135"/>
      <c r="I37" s="135"/>
      <c r="J37" s="24">
        <f t="shared" si="0"/>
        <v>0</v>
      </c>
      <c r="K37" s="135"/>
      <c r="L37" s="135"/>
      <c r="M37" s="140">
        <f t="shared" si="1"/>
        <v>376293</v>
      </c>
      <c r="N37" s="199"/>
      <c r="O37" s="200"/>
    </row>
    <row r="38" spans="1:37" x14ac:dyDescent="0.25">
      <c r="A38" s="15" t="s">
        <v>205</v>
      </c>
      <c r="B38" s="202">
        <v>4371410</v>
      </c>
      <c r="C38" s="202"/>
      <c r="D38" s="135"/>
      <c r="E38" s="135">
        <v>-4371410</v>
      </c>
      <c r="F38" s="135">
        <v>-1141</v>
      </c>
      <c r="G38" s="135">
        <f t="shared" si="2"/>
        <v>0</v>
      </c>
      <c r="H38" s="135">
        <v>0</v>
      </c>
      <c r="I38" s="135">
        <v>1141</v>
      </c>
      <c r="J38" s="24">
        <f>SUM(B38:I38)</f>
        <v>0</v>
      </c>
      <c r="K38" s="135"/>
      <c r="L38" s="135"/>
      <c r="M38" s="140">
        <f t="shared" si="1"/>
        <v>4371410</v>
      </c>
      <c r="N38" s="199"/>
      <c r="O38" s="200"/>
    </row>
    <row r="39" spans="1:37" x14ac:dyDescent="0.25">
      <c r="A39" s="15" t="s">
        <v>206</v>
      </c>
      <c r="B39" s="202">
        <v>346148421</v>
      </c>
      <c r="C39" s="202">
        <v>313000</v>
      </c>
      <c r="D39" s="135"/>
      <c r="E39" s="135">
        <v>-346148421</v>
      </c>
      <c r="F39" s="135"/>
      <c r="G39" s="135">
        <f t="shared" si="2"/>
        <v>-313000</v>
      </c>
      <c r="H39" s="135"/>
      <c r="I39" s="135"/>
      <c r="J39" s="24">
        <f>SUM(B39:I39)</f>
        <v>0</v>
      </c>
      <c r="K39" s="135"/>
      <c r="L39" s="135"/>
      <c r="M39" s="140">
        <f>B39+C39+D39+K39+L39</f>
        <v>346461421</v>
      </c>
      <c r="N39" s="199"/>
      <c r="O39" s="200"/>
    </row>
    <row r="40" spans="1:37" x14ac:dyDescent="0.25">
      <c r="A40" s="15"/>
      <c r="B40" s="202"/>
      <c r="C40" s="202"/>
      <c r="D40" s="135"/>
      <c r="E40" s="135"/>
      <c r="F40" s="135"/>
      <c r="G40" s="135">
        <f t="shared" si="2"/>
        <v>0</v>
      </c>
      <c r="H40" s="135"/>
      <c r="I40" s="135"/>
      <c r="J40" s="24">
        <f t="shared" si="0"/>
        <v>0</v>
      </c>
      <c r="K40" s="135"/>
      <c r="L40" s="135"/>
      <c r="M40" s="140">
        <f t="shared" ref="M40:M46" si="3">B40+C40+D40+K40+L40</f>
        <v>0</v>
      </c>
      <c r="N40" s="199"/>
      <c r="O40" s="200"/>
    </row>
    <row r="41" spans="1:37" x14ac:dyDescent="0.25">
      <c r="A41" s="15" t="s">
        <v>208</v>
      </c>
      <c r="B41" s="202">
        <v>28296602.079999998</v>
      </c>
      <c r="C41" s="202">
        <v>4439726.6000000006</v>
      </c>
      <c r="D41" s="135">
        <v>878359.01</v>
      </c>
      <c r="E41" s="135">
        <v>-4721109.22</v>
      </c>
      <c r="F41" s="135"/>
      <c r="G41" s="135">
        <f t="shared" si="2"/>
        <v>-4439726.6000000006</v>
      </c>
      <c r="H41" s="135">
        <v>-21042823.07</v>
      </c>
      <c r="I41" s="135">
        <v>3595.9151270000025</v>
      </c>
      <c r="J41" s="24">
        <f>SUM(B41:I41)</f>
        <v>3414624.7151269969</v>
      </c>
      <c r="K41" s="135"/>
      <c r="L41" s="135"/>
      <c r="M41" s="140">
        <f t="shared" si="3"/>
        <v>33614687.689999998</v>
      </c>
      <c r="N41" s="199"/>
      <c r="O41" s="200"/>
    </row>
    <row r="42" spans="1:37" x14ac:dyDescent="0.25">
      <c r="A42" s="15" t="s">
        <v>210</v>
      </c>
      <c r="B42" s="202"/>
      <c r="C42" s="202">
        <v>228315</v>
      </c>
      <c r="D42" s="135"/>
      <c r="E42" s="135"/>
      <c r="F42" s="135"/>
      <c r="G42" s="135">
        <f t="shared" si="2"/>
        <v>-228315</v>
      </c>
      <c r="H42" s="135"/>
      <c r="I42" s="135"/>
      <c r="J42" s="24">
        <f>SUM(B42:I42)</f>
        <v>0</v>
      </c>
      <c r="K42" s="135"/>
      <c r="L42" s="135"/>
      <c r="M42" s="140">
        <f t="shared" si="3"/>
        <v>228315</v>
      </c>
      <c r="N42" s="199"/>
      <c r="O42" s="200"/>
    </row>
    <row r="43" spans="1:37" x14ac:dyDescent="0.25">
      <c r="A43" s="15" t="s">
        <v>209</v>
      </c>
      <c r="B43" s="202"/>
      <c r="C43" s="202"/>
      <c r="D43" s="135"/>
      <c r="E43" s="135"/>
      <c r="F43" s="135"/>
      <c r="G43" s="135">
        <f t="shared" si="2"/>
        <v>0</v>
      </c>
      <c r="H43" s="135"/>
      <c r="I43" s="135"/>
      <c r="J43" s="24">
        <f t="shared" si="0"/>
        <v>0</v>
      </c>
      <c r="K43" s="135"/>
      <c r="L43" s="135"/>
      <c r="M43" s="140">
        <f t="shared" si="3"/>
        <v>0</v>
      </c>
      <c r="N43" s="199"/>
      <c r="O43" s="200"/>
    </row>
    <row r="44" spans="1:37" x14ac:dyDescent="0.25">
      <c r="A44" s="15" t="s">
        <v>212</v>
      </c>
      <c r="B44" s="202"/>
      <c r="C44" s="202"/>
      <c r="D44" s="135">
        <v>12235028.999999976</v>
      </c>
      <c r="E44" s="135">
        <v>-355331.73</v>
      </c>
      <c r="F44" s="135">
        <f>233884-26597-52185.82</f>
        <v>155101.18</v>
      </c>
      <c r="G44" s="135">
        <f t="shared" si="2"/>
        <v>0</v>
      </c>
      <c r="H44" s="135">
        <v>-79333.64</v>
      </c>
      <c r="I44" s="135">
        <v>90989.551604000008</v>
      </c>
      <c r="J44" s="24">
        <f>SUM(B44:I44)</f>
        <v>12046454.361603975</v>
      </c>
      <c r="K44" s="135"/>
      <c r="L44" s="135">
        <v>-119950</v>
      </c>
      <c r="M44" s="140">
        <f t="shared" si="3"/>
        <v>12115078.999999976</v>
      </c>
      <c r="N44" s="199"/>
      <c r="O44" s="200"/>
    </row>
    <row r="45" spans="1:37" x14ac:dyDescent="0.25">
      <c r="A45" s="15" t="s">
        <v>211</v>
      </c>
      <c r="B45" s="202"/>
      <c r="C45" s="202"/>
      <c r="D45" s="135"/>
      <c r="E45" s="135"/>
      <c r="F45" s="135"/>
      <c r="G45" s="135">
        <f t="shared" si="2"/>
        <v>0</v>
      </c>
      <c r="H45" s="135"/>
      <c r="I45" s="135"/>
      <c r="J45" s="24">
        <f>SUM(B45:I45)</f>
        <v>0</v>
      </c>
      <c r="K45" s="135"/>
      <c r="L45" s="135"/>
      <c r="M45" s="140">
        <f t="shared" si="3"/>
        <v>0</v>
      </c>
      <c r="N45" s="199"/>
      <c r="O45" s="200"/>
    </row>
    <row r="46" spans="1:37" x14ac:dyDescent="0.25">
      <c r="A46" s="15" t="s">
        <v>213</v>
      </c>
      <c r="B46" s="202"/>
      <c r="C46" s="202"/>
      <c r="D46" s="135">
        <v>7613458.8899999959</v>
      </c>
      <c r="E46" s="135"/>
      <c r="F46" s="135">
        <f>-188998.36-241571</f>
        <v>-430569.36</v>
      </c>
      <c r="G46" s="135">
        <f t="shared" si="2"/>
        <v>0</v>
      </c>
      <c r="H46" s="135">
        <v>-510922.68000000005</v>
      </c>
      <c r="I46" s="135">
        <v>604974.64979699999</v>
      </c>
      <c r="J46" s="24">
        <f>SUM(B46:I46)</f>
        <v>7276941.4997969959</v>
      </c>
      <c r="K46" s="135"/>
      <c r="L46" s="135">
        <v>-307.63</v>
      </c>
      <c r="M46" s="140">
        <f t="shared" si="3"/>
        <v>7613151.2599999961</v>
      </c>
      <c r="N46" s="199"/>
      <c r="O46" s="200"/>
    </row>
    <row r="47" spans="1:37" ht="13" thickBot="1" x14ac:dyDescent="0.3">
      <c r="A47" s="25" t="s">
        <v>2</v>
      </c>
      <c r="B47" s="26">
        <f t="shared" ref="B47:L47" si="4">SUM(B7:B46)</f>
        <v>579161414.32000005</v>
      </c>
      <c r="C47" s="26">
        <f t="shared" si="4"/>
        <v>64295465.309999995</v>
      </c>
      <c r="D47" s="26">
        <f t="shared" si="4"/>
        <v>23223298.639999971</v>
      </c>
      <c r="E47" s="26">
        <f t="shared" si="4"/>
        <v>-356231633.40000004</v>
      </c>
      <c r="F47" s="26">
        <f t="shared" si="4"/>
        <v>-2221047.4436659194</v>
      </c>
      <c r="G47" s="26">
        <f t="shared" si="4"/>
        <v>-64295465.309999995</v>
      </c>
      <c r="H47" s="26">
        <f t="shared" si="4"/>
        <v>-37121747.240000002</v>
      </c>
      <c r="I47" s="26">
        <f t="shared" si="4"/>
        <v>18990946.719703004</v>
      </c>
      <c r="J47" s="26">
        <f t="shared" si="4"/>
        <v>225801231.59603706</v>
      </c>
      <c r="K47" s="26">
        <f t="shared" si="4"/>
        <v>-34810252</v>
      </c>
      <c r="L47" s="26">
        <f t="shared" si="4"/>
        <v>-6580749.0799999991</v>
      </c>
      <c r="N47" s="199"/>
      <c r="O47" s="200"/>
    </row>
    <row r="48" spans="1:37" s="74" customFormat="1" x14ac:dyDescent="0.25">
      <c r="A48" s="8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43"/>
      <c r="N48" s="171"/>
      <c r="O48" s="175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</row>
    <row r="49" spans="1:12" x14ac:dyDescent="0.25">
      <c r="A49" s="206" t="s">
        <v>125</v>
      </c>
      <c r="B49" s="207">
        <v>579161414.31999993</v>
      </c>
      <c r="C49" s="207">
        <v>64295465.310000032</v>
      </c>
      <c r="D49" s="208">
        <v>23223298.639999937</v>
      </c>
      <c r="E49" s="208"/>
      <c r="F49" s="208"/>
      <c r="G49" s="208"/>
      <c r="H49" s="208">
        <v>-37121747.240000002</v>
      </c>
      <c r="I49" s="208">
        <v>18990946.719703</v>
      </c>
      <c r="J49" s="19">
        <f>J47+L47</f>
        <v>219220482.51603705</v>
      </c>
      <c r="K49" s="19"/>
      <c r="L49" s="19"/>
    </row>
    <row r="50" spans="1:12" x14ac:dyDescent="0.25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5"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5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25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</row>
    <row r="55" spans="1:12" x14ac:dyDescent="0.25"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</row>
    <row r="56" spans="1:12" x14ac:dyDescent="0.25"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</row>
    <row r="57" spans="1:12" x14ac:dyDescent="0.25"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</row>
    <row r="58" spans="1:12" x14ac:dyDescent="0.25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5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</row>
    <row r="60" spans="1:12" x14ac:dyDescent="0.25"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</row>
    <row r="61" spans="1:12" x14ac:dyDescent="0.2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</row>
    <row r="62" spans="1:12" x14ac:dyDescent="0.25"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</row>
    <row r="63" spans="1:12" x14ac:dyDescent="0.25"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</row>
    <row r="64" spans="1:12" x14ac:dyDescent="0.25"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</row>
    <row r="65" spans="2:12" x14ac:dyDescent="0.25"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</row>
    <row r="66" spans="2:12" x14ac:dyDescent="0.25"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</row>
    <row r="67" spans="2:12" x14ac:dyDescent="0.25"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</row>
    <row r="68" spans="2:12" x14ac:dyDescent="0.25"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</row>
    <row r="69" spans="2:12" x14ac:dyDescent="0.25"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</row>
    <row r="70" spans="2:12" x14ac:dyDescent="0.25"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</row>
    <row r="71" spans="2:12" x14ac:dyDescent="0.25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</row>
    <row r="72" spans="2:12" x14ac:dyDescent="0.25"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</row>
    <row r="73" spans="2:12" x14ac:dyDescent="0.25"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</row>
    <row r="74" spans="2:12" x14ac:dyDescent="0.25"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</row>
    <row r="75" spans="2:12" x14ac:dyDescent="0.25"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</row>
    <row r="76" spans="2:12" x14ac:dyDescent="0.25"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</row>
    <row r="77" spans="2:12" x14ac:dyDescent="0.25"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</row>
    <row r="78" spans="2:12" x14ac:dyDescent="0.25"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</row>
    <row r="79" spans="2:12" x14ac:dyDescent="0.25"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</row>
    <row r="80" spans="2:12" x14ac:dyDescent="0.25"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</row>
    <row r="81" spans="2:12" x14ac:dyDescent="0.25"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</row>
    <row r="82" spans="2:12" x14ac:dyDescent="0.25"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</row>
    <row r="83" spans="2:12" x14ac:dyDescent="0.25"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</row>
    <row r="84" spans="2:12" x14ac:dyDescent="0.25"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</row>
    <row r="85" spans="2:12" x14ac:dyDescent="0.25"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</row>
    <row r="86" spans="2:12" x14ac:dyDescent="0.25"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</row>
    <row r="87" spans="2:12" x14ac:dyDescent="0.25"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</row>
    <row r="88" spans="2:12" x14ac:dyDescent="0.25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</row>
    <row r="89" spans="2:12" x14ac:dyDescent="0.25"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</row>
    <row r="90" spans="2:12" x14ac:dyDescent="0.25"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</row>
    <row r="91" spans="2:12" x14ac:dyDescent="0.25"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</row>
    <row r="92" spans="2:12" x14ac:dyDescent="0.25"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</row>
    <row r="93" spans="2:12" x14ac:dyDescent="0.25"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5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5"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</row>
    <row r="96" spans="2:12" x14ac:dyDescent="0.25"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</row>
    <row r="97" spans="2:12" x14ac:dyDescent="0.25"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</row>
    <row r="98" spans="2:12" x14ac:dyDescent="0.25"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</row>
    <row r="99" spans="2:12" x14ac:dyDescent="0.25"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</row>
    <row r="100" spans="2:12" x14ac:dyDescent="0.25"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x14ac:dyDescent="0.25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x14ac:dyDescent="0.25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x14ac:dyDescent="0.25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x14ac:dyDescent="0.25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x14ac:dyDescent="0.25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x14ac:dyDescent="0.25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x14ac:dyDescent="0.25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x14ac:dyDescent="0.25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x14ac:dyDescent="0.2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x14ac:dyDescent="0.25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x14ac:dyDescent="0.25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x14ac:dyDescent="0.25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x14ac:dyDescent="0.25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x14ac:dyDescent="0.25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x14ac:dyDescent="0.25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x14ac:dyDescent="0.25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x14ac:dyDescent="0.25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x14ac:dyDescent="0.25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x14ac:dyDescent="0.25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x14ac:dyDescent="0.25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x14ac:dyDescent="0.25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x14ac:dyDescent="0.25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x14ac:dyDescent="0.25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x14ac:dyDescent="0.25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x14ac:dyDescent="0.25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x14ac:dyDescent="0.25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x14ac:dyDescent="0.25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x14ac:dyDescent="0.25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x14ac:dyDescent="0.25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x14ac:dyDescent="0.25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x14ac:dyDescent="0.25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x14ac:dyDescent="0.25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x14ac:dyDescent="0.25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x14ac:dyDescent="0.25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x14ac:dyDescent="0.25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x14ac:dyDescent="0.25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x14ac:dyDescent="0.25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x14ac:dyDescent="0.25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x14ac:dyDescent="0.25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x14ac:dyDescent="0.25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x14ac:dyDescent="0.25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x14ac:dyDescent="0.25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x14ac:dyDescent="0.25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x14ac:dyDescent="0.25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x14ac:dyDescent="0.25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x14ac:dyDescent="0.25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x14ac:dyDescent="0.25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x14ac:dyDescent="0.25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x14ac:dyDescent="0.25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x14ac:dyDescent="0.25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x14ac:dyDescent="0.25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x14ac:dyDescent="0.25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x14ac:dyDescent="0.25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x14ac:dyDescent="0.25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x14ac:dyDescent="0.25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x14ac:dyDescent="0.25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x14ac:dyDescent="0.25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x14ac:dyDescent="0.25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x14ac:dyDescent="0.25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x14ac:dyDescent="0.25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x14ac:dyDescent="0.25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x14ac:dyDescent="0.25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x14ac:dyDescent="0.25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x14ac:dyDescent="0.25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x14ac:dyDescent="0.25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x14ac:dyDescent="0.25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x14ac:dyDescent="0.25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x14ac:dyDescent="0.25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x14ac:dyDescent="0.25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x14ac:dyDescent="0.25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x14ac:dyDescent="0.25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x14ac:dyDescent="0.25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x14ac:dyDescent="0.25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x14ac:dyDescent="0.25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x14ac:dyDescent="0.25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x14ac:dyDescent="0.25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x14ac:dyDescent="0.25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x14ac:dyDescent="0.25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x14ac:dyDescent="0.25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x14ac:dyDescent="0.25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x14ac:dyDescent="0.25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x14ac:dyDescent="0.25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x14ac:dyDescent="0.25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x14ac:dyDescent="0.25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x14ac:dyDescent="0.25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x14ac:dyDescent="0.25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x14ac:dyDescent="0.25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x14ac:dyDescent="0.25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x14ac:dyDescent="0.25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x14ac:dyDescent="0.25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x14ac:dyDescent="0.25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x14ac:dyDescent="0.25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x14ac:dyDescent="0.25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x14ac:dyDescent="0.25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x14ac:dyDescent="0.25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x14ac:dyDescent="0.25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x14ac:dyDescent="0.25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x14ac:dyDescent="0.25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x14ac:dyDescent="0.25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x14ac:dyDescent="0.25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x14ac:dyDescent="0.25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x14ac:dyDescent="0.25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x14ac:dyDescent="0.25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x14ac:dyDescent="0.25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x14ac:dyDescent="0.25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x14ac:dyDescent="0.25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x14ac:dyDescent="0.25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x14ac:dyDescent="0.25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x14ac:dyDescent="0.25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x14ac:dyDescent="0.25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x14ac:dyDescent="0.25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x14ac:dyDescent="0.25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x14ac:dyDescent="0.25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x14ac:dyDescent="0.25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x14ac:dyDescent="0.25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x14ac:dyDescent="0.25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x14ac:dyDescent="0.25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x14ac:dyDescent="0.25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x14ac:dyDescent="0.25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x14ac:dyDescent="0.25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x14ac:dyDescent="0.25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x14ac:dyDescent="0.25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x14ac:dyDescent="0.25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x14ac:dyDescent="0.25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x14ac:dyDescent="0.25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x14ac:dyDescent="0.25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x14ac:dyDescent="0.25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x14ac:dyDescent="0.25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x14ac:dyDescent="0.25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x14ac:dyDescent="0.25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x14ac:dyDescent="0.25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x14ac:dyDescent="0.25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x14ac:dyDescent="0.25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x14ac:dyDescent="0.25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x14ac:dyDescent="0.25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x14ac:dyDescent="0.25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x14ac:dyDescent="0.25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x14ac:dyDescent="0.25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x14ac:dyDescent="0.25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x14ac:dyDescent="0.25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x14ac:dyDescent="0.25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x14ac:dyDescent="0.25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x14ac:dyDescent="0.25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x14ac:dyDescent="0.25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x14ac:dyDescent="0.25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x14ac:dyDescent="0.25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x14ac:dyDescent="0.25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x14ac:dyDescent="0.25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x14ac:dyDescent="0.25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x14ac:dyDescent="0.25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x14ac:dyDescent="0.25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x14ac:dyDescent="0.25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x14ac:dyDescent="0.25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x14ac:dyDescent="0.25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x14ac:dyDescent="0.25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x14ac:dyDescent="0.25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x14ac:dyDescent="0.25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x14ac:dyDescent="0.25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x14ac:dyDescent="0.25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x14ac:dyDescent="0.25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x14ac:dyDescent="0.25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x14ac:dyDescent="0.25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x14ac:dyDescent="0.25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x14ac:dyDescent="0.25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x14ac:dyDescent="0.25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x14ac:dyDescent="0.25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x14ac:dyDescent="0.25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x14ac:dyDescent="0.25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x14ac:dyDescent="0.25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x14ac:dyDescent="0.25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x14ac:dyDescent="0.25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x14ac:dyDescent="0.25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x14ac:dyDescent="0.25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x14ac:dyDescent="0.25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x14ac:dyDescent="0.25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x14ac:dyDescent="0.25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x14ac:dyDescent="0.25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x14ac:dyDescent="0.25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x14ac:dyDescent="0.25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x14ac:dyDescent="0.25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x14ac:dyDescent="0.25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x14ac:dyDescent="0.25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x14ac:dyDescent="0.25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x14ac:dyDescent="0.25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x14ac:dyDescent="0.25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x14ac:dyDescent="0.25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x14ac:dyDescent="0.25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x14ac:dyDescent="0.25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x14ac:dyDescent="0.25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x14ac:dyDescent="0.25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x14ac:dyDescent="0.25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x14ac:dyDescent="0.25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x14ac:dyDescent="0.25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x14ac:dyDescent="0.25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x14ac:dyDescent="0.25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x14ac:dyDescent="0.25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x14ac:dyDescent="0.25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x14ac:dyDescent="0.25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x14ac:dyDescent="0.25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x14ac:dyDescent="0.2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x14ac:dyDescent="0.2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x14ac:dyDescent="0.2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x14ac:dyDescent="0.2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x14ac:dyDescent="0.2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x14ac:dyDescent="0.2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x14ac:dyDescent="0.2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x14ac:dyDescent="0.2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x14ac:dyDescent="0.2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x14ac:dyDescent="0.2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x14ac:dyDescent="0.2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x14ac:dyDescent="0.2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x14ac:dyDescent="0.2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x14ac:dyDescent="0.2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x14ac:dyDescent="0.2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x14ac:dyDescent="0.2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x14ac:dyDescent="0.2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x14ac:dyDescent="0.2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x14ac:dyDescent="0.2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x14ac:dyDescent="0.2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x14ac:dyDescent="0.2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x14ac:dyDescent="0.2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x14ac:dyDescent="0.2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x14ac:dyDescent="0.2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x14ac:dyDescent="0.2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x14ac:dyDescent="0.2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x14ac:dyDescent="0.2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x14ac:dyDescent="0.2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x14ac:dyDescent="0.2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x14ac:dyDescent="0.2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x14ac:dyDescent="0.25">
      <c r="B330" s="18"/>
    </row>
  </sheetData>
  <sheetProtection algorithmName="SHA-512" hashValue="6HXXJo/RoQNKfDgJpcjX95KR0zupL9NMJhfLFnY9l9j3r2uEkxSWnVUNUhBMNDoCiqym/gWWhMMDzYPHqB6JoQ==" saltValue="u/1M9G3a53t4iziqXd6sug==" spinCount="100000" sheet="1" objects="1" scenarios="1"/>
  <phoneticPr fontId="29" type="noConversion"/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K79"/>
  <sheetViews>
    <sheetView zoomScale="90" zoomScaleNormal="90" workbookViewId="0">
      <pane xSplit="1" topLeftCell="B1" activePane="topRight" state="frozen"/>
      <selection pane="topRight"/>
    </sheetView>
  </sheetViews>
  <sheetFormatPr baseColWidth="10" defaultColWidth="9.1796875" defaultRowHeight="12.5" x14ac:dyDescent="0.25"/>
  <cols>
    <col min="1" max="1" width="58.7265625" customWidth="1"/>
    <col min="2" max="2" width="14.7265625" bestFit="1" customWidth="1"/>
    <col min="3" max="3" width="18.81640625" bestFit="1" customWidth="1"/>
    <col min="4" max="28" width="14.7265625" customWidth="1"/>
    <col min="29" max="29" width="14.81640625" bestFit="1" customWidth="1"/>
    <col min="30" max="31" width="14.7265625" customWidth="1"/>
  </cols>
  <sheetData>
    <row r="1" spans="1:3" s="14" customFormat="1" x14ac:dyDescent="0.25"/>
    <row r="2" spans="1:3" s="14" customFormat="1" ht="39.5" x14ac:dyDescent="0.75">
      <c r="B2" s="20" t="s">
        <v>76</v>
      </c>
    </row>
    <row r="3" spans="1:3" s="14" customFormat="1" x14ac:dyDescent="0.25"/>
    <row r="4" spans="1:3" s="14" customFormat="1" x14ac:dyDescent="0.25"/>
    <row r="5" spans="1:3" x14ac:dyDescent="0.25">
      <c r="A5" s="12" t="s">
        <v>54</v>
      </c>
      <c r="B5" s="27"/>
      <c r="C5" s="12"/>
    </row>
    <row r="6" spans="1:3" x14ac:dyDescent="0.25">
      <c r="A6" s="12" t="s">
        <v>52</v>
      </c>
      <c r="B6" s="27" t="s">
        <v>53</v>
      </c>
      <c r="C6" s="12" t="s">
        <v>51</v>
      </c>
    </row>
    <row r="7" spans="1:3" x14ac:dyDescent="0.25">
      <c r="A7" s="12" t="s">
        <v>16</v>
      </c>
      <c r="B7" s="13">
        <v>6</v>
      </c>
      <c r="C7" s="12" t="s">
        <v>50</v>
      </c>
    </row>
    <row r="8" spans="1:3" x14ac:dyDescent="0.25">
      <c r="A8" s="12" t="s">
        <v>17</v>
      </c>
      <c r="B8" s="13">
        <v>13</v>
      </c>
      <c r="C8" s="12" t="s">
        <v>50</v>
      </c>
    </row>
    <row r="9" spans="1:3" x14ac:dyDescent="0.25">
      <c r="A9" s="12" t="s">
        <v>18</v>
      </c>
      <c r="B9" s="13">
        <v>21</v>
      </c>
      <c r="C9" s="12" t="s">
        <v>50</v>
      </c>
    </row>
    <row r="10" spans="1:3" x14ac:dyDescent="0.25">
      <c r="A10" s="12" t="s">
        <v>19</v>
      </c>
      <c r="B10" s="13">
        <v>29</v>
      </c>
      <c r="C10" s="12" t="s">
        <v>50</v>
      </c>
    </row>
    <row r="11" spans="1:3" x14ac:dyDescent="0.25">
      <c r="A11" s="12" t="s">
        <v>20</v>
      </c>
      <c r="B11" s="13">
        <v>37</v>
      </c>
      <c r="C11" s="12" t="s">
        <v>50</v>
      </c>
    </row>
    <row r="12" spans="1:3" x14ac:dyDescent="0.25">
      <c r="A12" s="12" t="s">
        <v>12</v>
      </c>
      <c r="B12" s="13">
        <v>45</v>
      </c>
      <c r="C12" s="12" t="s">
        <v>50</v>
      </c>
    </row>
    <row r="13" spans="1:3" x14ac:dyDescent="0.25">
      <c r="A13" s="12" t="s">
        <v>21</v>
      </c>
      <c r="B13" s="13">
        <v>48</v>
      </c>
      <c r="C13" s="12" t="s">
        <v>50</v>
      </c>
    </row>
    <row r="14" spans="1:3" ht="37.5" x14ac:dyDescent="0.25">
      <c r="A14" s="12" t="s">
        <v>29</v>
      </c>
      <c r="B14" s="40">
        <v>1.8</v>
      </c>
      <c r="C14" s="29" t="s">
        <v>78</v>
      </c>
    </row>
    <row r="15" spans="1:3" x14ac:dyDescent="0.25">
      <c r="A15" s="12" t="s">
        <v>229</v>
      </c>
      <c r="B15" s="127">
        <f>+'Input, kommunale barnehager'!J49*Forside!F49*Forside!G49</f>
        <v>238936076.6111168</v>
      </c>
      <c r="C15" s="12" t="s">
        <v>264</v>
      </c>
    </row>
    <row r="16" spans="1:3" x14ac:dyDescent="0.25">
      <c r="A16" s="12" t="s">
        <v>266</v>
      </c>
      <c r="B16" s="28">
        <f>-I53+(G79*Forside!F49*Forside!G49)</f>
        <v>-34903847.802149996</v>
      </c>
      <c r="C16" s="12" t="s">
        <v>267</v>
      </c>
    </row>
    <row r="17" spans="1:10" ht="25" x14ac:dyDescent="0.25">
      <c r="A17" s="12" t="s">
        <v>37</v>
      </c>
      <c r="B17" s="95">
        <v>4.2999999999999997E-2</v>
      </c>
      <c r="C17" s="29" t="s">
        <v>60</v>
      </c>
    </row>
    <row r="18" spans="1:10" ht="25" x14ac:dyDescent="0.25">
      <c r="A18" s="32" t="s">
        <v>58</v>
      </c>
      <c r="B18" s="128">
        <f>ROUND(9500*1.028,-2)*0</f>
        <v>0</v>
      </c>
      <c r="C18" s="29" t="s">
        <v>60</v>
      </c>
    </row>
    <row r="19" spans="1:10" ht="25" x14ac:dyDescent="0.25">
      <c r="A19" s="32" t="s">
        <v>59</v>
      </c>
      <c r="B19" s="128">
        <f>ROUND(9500*1.028,-2)*0</f>
        <v>0</v>
      </c>
      <c r="C19" s="29" t="s">
        <v>60</v>
      </c>
    </row>
    <row r="20" spans="1:10" x14ac:dyDescent="0.25">
      <c r="A20" s="2"/>
      <c r="B20" s="5"/>
      <c r="C20" s="2"/>
    </row>
    <row r="21" spans="1:10" x14ac:dyDescent="0.25">
      <c r="A21" s="2"/>
      <c r="B21" s="5"/>
      <c r="C21" s="2"/>
    </row>
    <row r="22" spans="1:10" s="30" customFormat="1" ht="13" x14ac:dyDescent="0.3">
      <c r="A22" s="31" t="s">
        <v>55</v>
      </c>
      <c r="B22" s="31"/>
      <c r="C22" s="31"/>
      <c r="D22" s="31"/>
      <c r="E22" s="31" t="s">
        <v>312</v>
      </c>
      <c r="F22" s="31"/>
      <c r="G22" s="31"/>
      <c r="H22" s="31"/>
      <c r="I22" s="31"/>
    </row>
    <row r="23" spans="1:10" s="30" customFormat="1" ht="13" x14ac:dyDescent="0.3">
      <c r="A23" s="32" t="s">
        <v>13</v>
      </c>
      <c r="B23" s="221"/>
      <c r="C23" s="223"/>
      <c r="D23" s="136"/>
      <c r="E23" s="221" t="s">
        <v>14</v>
      </c>
      <c r="F23" s="222"/>
      <c r="G23" s="223"/>
      <c r="H23" s="221" t="s">
        <v>22</v>
      </c>
      <c r="I23" s="223"/>
    </row>
    <row r="24" spans="1:10" s="30" customFormat="1" ht="13" x14ac:dyDescent="0.3">
      <c r="A24" s="32" t="s">
        <v>13</v>
      </c>
      <c r="B24" s="33"/>
      <c r="C24" s="33"/>
      <c r="D24" s="33"/>
      <c r="E24" s="33" t="s">
        <v>23</v>
      </c>
      <c r="F24" s="33" t="s">
        <v>24</v>
      </c>
      <c r="G24" s="33" t="s">
        <v>15</v>
      </c>
      <c r="H24" s="33" t="s">
        <v>296</v>
      </c>
      <c r="I24" s="33" t="s">
        <v>297</v>
      </c>
    </row>
    <row r="25" spans="1:10" x14ac:dyDescent="0.25">
      <c r="A25" s="32" t="s">
        <v>7</v>
      </c>
      <c r="B25" s="81"/>
      <c r="C25" s="82"/>
      <c r="D25" s="41"/>
      <c r="E25" s="111">
        <v>0</v>
      </c>
      <c r="F25" s="112">
        <v>0</v>
      </c>
      <c r="G25" s="84">
        <f t="shared" ref="G25:G30" si="0">+E25+F25</f>
        <v>0</v>
      </c>
      <c r="H25" s="83">
        <f t="shared" ref="H25:H30" si="1">+E25*B7*$B$13</f>
        <v>0</v>
      </c>
      <c r="I25" s="83">
        <f t="shared" ref="I25:I30" si="2">+F25*B7*$B$13</f>
        <v>0</v>
      </c>
    </row>
    <row r="26" spans="1:10" x14ac:dyDescent="0.25">
      <c r="A26" s="32" t="s">
        <v>8</v>
      </c>
      <c r="B26" s="81"/>
      <c r="C26" s="82"/>
      <c r="D26" s="41"/>
      <c r="E26" s="111">
        <v>0</v>
      </c>
      <c r="F26" s="112">
        <v>0</v>
      </c>
      <c r="G26" s="84">
        <f t="shared" si="0"/>
        <v>0</v>
      </c>
      <c r="H26" s="83">
        <f t="shared" si="1"/>
        <v>0</v>
      </c>
      <c r="I26" s="83">
        <f t="shared" si="2"/>
        <v>0</v>
      </c>
    </row>
    <row r="27" spans="1:10" x14ac:dyDescent="0.25">
      <c r="A27" s="32" t="s">
        <v>9</v>
      </c>
      <c r="B27" s="81"/>
      <c r="C27" s="82"/>
      <c r="D27" s="41"/>
      <c r="E27" s="111">
        <v>6</v>
      </c>
      <c r="F27" s="112">
        <v>3</v>
      </c>
      <c r="G27" s="84">
        <f t="shared" si="0"/>
        <v>9</v>
      </c>
      <c r="H27" s="83">
        <f t="shared" si="1"/>
        <v>6048</v>
      </c>
      <c r="I27" s="83">
        <f t="shared" si="2"/>
        <v>3024</v>
      </c>
    </row>
    <row r="28" spans="1:10" x14ac:dyDescent="0.25">
      <c r="A28" s="32" t="s">
        <v>10</v>
      </c>
      <c r="B28" s="81"/>
      <c r="C28" s="82"/>
      <c r="D28" s="41"/>
      <c r="E28" s="111">
        <v>0</v>
      </c>
      <c r="F28" s="112">
        <v>0</v>
      </c>
      <c r="G28" s="84">
        <f t="shared" si="0"/>
        <v>0</v>
      </c>
      <c r="H28" s="83">
        <f t="shared" si="1"/>
        <v>0</v>
      </c>
      <c r="I28" s="83">
        <f t="shared" si="2"/>
        <v>0</v>
      </c>
    </row>
    <row r="29" spans="1:10" x14ac:dyDescent="0.25">
      <c r="A29" s="32" t="s">
        <v>11</v>
      </c>
      <c r="B29" s="81"/>
      <c r="C29" s="82"/>
      <c r="D29" s="41"/>
      <c r="E29" s="111">
        <v>0</v>
      </c>
      <c r="F29" s="112">
        <v>1</v>
      </c>
      <c r="G29" s="84">
        <f t="shared" si="0"/>
        <v>1</v>
      </c>
      <c r="H29" s="83">
        <f t="shared" si="1"/>
        <v>0</v>
      </c>
      <c r="I29" s="83">
        <f t="shared" si="2"/>
        <v>1776</v>
      </c>
    </row>
    <row r="30" spans="1:10" x14ac:dyDescent="0.25">
      <c r="A30" s="32" t="s">
        <v>12</v>
      </c>
      <c r="B30" s="81"/>
      <c r="C30" s="82"/>
      <c r="D30" s="41"/>
      <c r="E30" s="111">
        <v>357</v>
      </c>
      <c r="F30" s="112">
        <f>786</f>
        <v>786</v>
      </c>
      <c r="G30" s="84">
        <f t="shared" si="0"/>
        <v>1143</v>
      </c>
      <c r="H30" s="83">
        <f t="shared" si="1"/>
        <v>771120</v>
      </c>
      <c r="I30" s="83">
        <f t="shared" si="2"/>
        <v>1697760</v>
      </c>
    </row>
    <row r="31" spans="1:10" ht="13" x14ac:dyDescent="0.3">
      <c r="A31" s="32" t="s">
        <v>2</v>
      </c>
      <c r="B31" s="31">
        <f t="shared" ref="B31:I31" si="3">SUM(B25:B30)</f>
        <v>0</v>
      </c>
      <c r="C31" s="31">
        <f t="shared" si="3"/>
        <v>0</v>
      </c>
      <c r="D31" s="31">
        <f t="shared" si="3"/>
        <v>0</v>
      </c>
      <c r="E31" s="118">
        <f t="shared" si="3"/>
        <v>363</v>
      </c>
      <c r="F31" s="118">
        <f t="shared" si="3"/>
        <v>790</v>
      </c>
      <c r="G31" s="31">
        <f t="shared" si="3"/>
        <v>1153</v>
      </c>
      <c r="H31" s="76">
        <f t="shared" si="3"/>
        <v>777168</v>
      </c>
      <c r="I31" s="76">
        <f t="shared" si="3"/>
        <v>1702560</v>
      </c>
      <c r="J31" s="119">
        <f>H31+I31</f>
        <v>2479728</v>
      </c>
    </row>
    <row r="32" spans="1:10" s="74" customFormat="1" x14ac:dyDescent="0.25">
      <c r="B32" s="75">
        <f>B25*6/45+B26*13/45+B27*21/45+B28*29/45+B29*37/45+B30*45/45</f>
        <v>0</v>
      </c>
      <c r="C32" s="75">
        <f t="shared" ref="C32:G32" si="4">C25*6/45+C26*13/45+C27*21/45+C28*29/45+C29*37/45+C30*45/45</f>
        <v>0</v>
      </c>
      <c r="D32" s="75">
        <f t="shared" si="4"/>
        <v>0</v>
      </c>
      <c r="E32" s="75">
        <f t="shared" si="4"/>
        <v>359.8</v>
      </c>
      <c r="F32" s="75">
        <f t="shared" si="4"/>
        <v>788.22222222222217</v>
      </c>
      <c r="G32" s="75">
        <f t="shared" si="4"/>
        <v>1148.0222222222221</v>
      </c>
      <c r="H32" s="75"/>
      <c r="I32" s="75"/>
    </row>
    <row r="33" spans="1:11" ht="13" x14ac:dyDescent="0.3">
      <c r="A33" s="32" t="s">
        <v>22</v>
      </c>
      <c r="B33" s="12" t="s">
        <v>25</v>
      </c>
      <c r="C33" s="12" t="s">
        <v>26</v>
      </c>
      <c r="D33" s="33" t="s">
        <v>277</v>
      </c>
      <c r="E33" s="31" t="s">
        <v>334</v>
      </c>
      <c r="F33" s="31"/>
      <c r="G33" s="31"/>
      <c r="H33" s="31"/>
      <c r="I33" s="31"/>
    </row>
    <row r="34" spans="1:11" ht="13" x14ac:dyDescent="0.3">
      <c r="A34" s="32" t="s">
        <v>23</v>
      </c>
      <c r="B34" s="34">
        <f>(+H31*7/12)+(H42*5/12)</f>
        <v>784428</v>
      </c>
      <c r="C34" s="35">
        <f>+(B34/45)/48</f>
        <v>363.1611111111111</v>
      </c>
      <c r="D34" s="35">
        <f>B34*1.8*0</f>
        <v>0</v>
      </c>
      <c r="E34" s="221" t="s">
        <v>14</v>
      </c>
      <c r="F34" s="222"/>
      <c r="G34" s="223"/>
      <c r="H34" s="221" t="s">
        <v>22</v>
      </c>
      <c r="I34" s="223"/>
    </row>
    <row r="35" spans="1:11" x14ac:dyDescent="0.25">
      <c r="A35" s="32" t="s">
        <v>24</v>
      </c>
      <c r="B35" s="34">
        <f>(+I31*7/12)+(+I42*5/12)</f>
        <v>1698700</v>
      </c>
      <c r="C35" s="36">
        <f>+(B35/45)/48</f>
        <v>786.43518518518522</v>
      </c>
      <c r="D35" s="36">
        <f>B35*1*0</f>
        <v>0</v>
      </c>
      <c r="E35" s="33" t="s">
        <v>23</v>
      </c>
      <c r="F35" s="33" t="s">
        <v>24</v>
      </c>
      <c r="G35" s="33" t="s">
        <v>15</v>
      </c>
      <c r="H35" s="33" t="s">
        <v>307</v>
      </c>
      <c r="I35" s="33" t="s">
        <v>308</v>
      </c>
    </row>
    <row r="36" spans="1:11" ht="13" thickBot="1" x14ac:dyDescent="0.3">
      <c r="A36" s="32" t="s">
        <v>0</v>
      </c>
      <c r="B36" s="7">
        <f>SUM(B34:B35)</f>
        <v>2483128</v>
      </c>
      <c r="C36" s="8">
        <f>SUM(C34:C35)</f>
        <v>1149.5962962962963</v>
      </c>
      <c r="D36" s="8">
        <f>SUM(D34:D35)</f>
        <v>0</v>
      </c>
      <c r="E36" s="111">
        <v>0</v>
      </c>
      <c r="F36" s="112">
        <v>0</v>
      </c>
      <c r="G36" s="191">
        <f t="shared" ref="G36:G41" si="5">+E36+F36</f>
        <v>0</v>
      </c>
      <c r="H36" s="3">
        <f t="shared" ref="H36:H40" si="6">+E36*B7*$B$13</f>
        <v>0</v>
      </c>
      <c r="I36" s="77">
        <f t="shared" ref="I36:I41" si="7">+F36*B7*$B$13</f>
        <v>0</v>
      </c>
    </row>
    <row r="37" spans="1:11" x14ac:dyDescent="0.25">
      <c r="E37" s="111">
        <v>0</v>
      </c>
      <c r="F37" s="112">
        <v>0</v>
      </c>
      <c r="G37" s="191">
        <f t="shared" si="5"/>
        <v>0</v>
      </c>
      <c r="H37" s="3">
        <f t="shared" si="6"/>
        <v>0</v>
      </c>
      <c r="I37" s="77">
        <f t="shared" si="7"/>
        <v>0</v>
      </c>
    </row>
    <row r="38" spans="1:11" x14ac:dyDescent="0.25">
      <c r="A38" s="32" t="s">
        <v>27</v>
      </c>
      <c r="B38" s="12"/>
      <c r="E38" s="111">
        <v>4</v>
      </c>
      <c r="F38" s="112">
        <v>2</v>
      </c>
      <c r="G38" s="191">
        <f t="shared" si="5"/>
        <v>6</v>
      </c>
      <c r="H38" s="3">
        <f t="shared" si="6"/>
        <v>4032</v>
      </c>
      <c r="I38" s="77">
        <f t="shared" si="7"/>
        <v>2016</v>
      </c>
    </row>
    <row r="39" spans="1:11" x14ac:dyDescent="0.25">
      <c r="A39" s="32" t="s">
        <v>28</v>
      </c>
      <c r="B39" s="36">
        <f>+(B15*C34*B14)/(C34*B14+C35)</f>
        <v>108455935.30803816</v>
      </c>
      <c r="E39" s="111">
        <v>0</v>
      </c>
      <c r="F39" s="112">
        <v>0</v>
      </c>
      <c r="G39" s="191">
        <f t="shared" si="5"/>
        <v>0</v>
      </c>
      <c r="H39" s="3">
        <f t="shared" si="6"/>
        <v>0</v>
      </c>
      <c r="I39" s="77">
        <f t="shared" si="7"/>
        <v>0</v>
      </c>
    </row>
    <row r="40" spans="1:11" ht="13" thickBot="1" x14ac:dyDescent="0.3">
      <c r="A40" s="32" t="s">
        <v>30</v>
      </c>
      <c r="B40" s="37">
        <f>+(B15*C35)/(C34*B14+C35)</f>
        <v>130480141.30307862</v>
      </c>
      <c r="E40" s="111">
        <v>0</v>
      </c>
      <c r="F40" s="112">
        <v>0</v>
      </c>
      <c r="G40" s="191">
        <f t="shared" si="5"/>
        <v>0</v>
      </c>
      <c r="H40" s="3">
        <f t="shared" si="6"/>
        <v>0</v>
      </c>
      <c r="I40" s="77">
        <f t="shared" si="7"/>
        <v>0</v>
      </c>
    </row>
    <row r="41" spans="1:11" x14ac:dyDescent="0.25">
      <c r="A41" s="6"/>
      <c r="E41" s="111">
        <v>366</v>
      </c>
      <c r="F41" s="112">
        <v>783</v>
      </c>
      <c r="G41" s="191">
        <f t="shared" si="5"/>
        <v>1149</v>
      </c>
      <c r="H41" s="3">
        <f>+E41*B12*$B$13</f>
        <v>790560</v>
      </c>
      <c r="I41" s="77">
        <f t="shared" si="7"/>
        <v>1691280</v>
      </c>
    </row>
    <row r="42" spans="1:11" ht="13" x14ac:dyDescent="0.3">
      <c r="A42" s="32" t="s">
        <v>31</v>
      </c>
      <c r="B42" s="12"/>
      <c r="E42" s="31">
        <f>SUM(E36:E41)</f>
        <v>370</v>
      </c>
      <c r="F42" s="31">
        <f>SUM(F36:F41)</f>
        <v>785</v>
      </c>
      <c r="G42" s="31">
        <f>SUM(G36:G41)</f>
        <v>1155</v>
      </c>
      <c r="H42" s="76">
        <f>SUM(H36:H41)</f>
        <v>794592</v>
      </c>
      <c r="I42" s="76">
        <f>SUM(I36:I41)</f>
        <v>1693296</v>
      </c>
      <c r="J42" s="119">
        <f>H42+I42</f>
        <v>2487888</v>
      </c>
    </row>
    <row r="43" spans="1:11" x14ac:dyDescent="0.25">
      <c r="A43" s="32" t="s">
        <v>32</v>
      </c>
      <c r="B43" s="36">
        <f>+(-B16/C36*C34)</f>
        <v>11026236.071497288</v>
      </c>
      <c r="E43" s="75">
        <f>E36*6/45+E37*13/45+E38*21/45+E39*29/45+E40*37/45+E41*45/45</f>
        <v>367.86666666666667</v>
      </c>
      <c r="F43" s="75">
        <f>F36*6/45+F37*13/45+F38*21/45+F39*29/45+F40*37/45+F41*45/45</f>
        <v>783.93333333333328</v>
      </c>
      <c r="G43" s="75">
        <f>G36*6/45+G37*13/45+G38*21/45+G39*29/45+G40*37/45+G41*45/45</f>
        <v>1151.8</v>
      </c>
    </row>
    <row r="44" spans="1:11" ht="13" thickBot="1" x14ac:dyDescent="0.3">
      <c r="A44" s="32" t="s">
        <v>36</v>
      </c>
      <c r="B44" s="37">
        <f>+(-B16/C36*C35)</f>
        <v>23877611.730652712</v>
      </c>
      <c r="J44" s="119">
        <f>J31-J42</f>
        <v>-8160</v>
      </c>
      <c r="K44" s="119">
        <f>J44/45/48</f>
        <v>-3.7777777777777781</v>
      </c>
    </row>
    <row r="45" spans="1:11" ht="13" x14ac:dyDescent="0.3">
      <c r="F45" s="87" t="s">
        <v>98</v>
      </c>
    </row>
    <row r="46" spans="1:11" x14ac:dyDescent="0.25">
      <c r="A46" s="32" t="s">
        <v>33</v>
      </c>
      <c r="B46" s="12"/>
      <c r="F46" s="2" t="s">
        <v>270</v>
      </c>
      <c r="G46" s="134">
        <v>3000</v>
      </c>
      <c r="H46" s="134">
        <v>2000</v>
      </c>
      <c r="I46" s="2" t="s">
        <v>335</v>
      </c>
    </row>
    <row r="47" spans="1:11" x14ac:dyDescent="0.25">
      <c r="A47" s="32" t="s">
        <v>34</v>
      </c>
      <c r="B47" s="36">
        <f>+B39-B43</f>
        <v>97429699.236540869</v>
      </c>
      <c r="F47" s="120">
        <f>6/45</f>
        <v>0.13333333333333333</v>
      </c>
      <c r="G47" s="88">
        <f>(E25*$G$46*6*F47)+(F25*$G$46*6*F47)</f>
        <v>0</v>
      </c>
      <c r="H47" s="88">
        <f t="shared" ref="H47:H51" si="8">(E36*$H$46*5*F47)+(F36*$H$46*5*F47)</f>
        <v>0</v>
      </c>
      <c r="I47" s="88"/>
    </row>
    <row r="48" spans="1:11" ht="13" thickBot="1" x14ac:dyDescent="0.3">
      <c r="A48" s="32" t="s">
        <v>35</v>
      </c>
      <c r="B48" s="37">
        <f>+B40-B44</f>
        <v>106602529.5724259</v>
      </c>
      <c r="F48" s="120">
        <f>13/45</f>
        <v>0.28888888888888886</v>
      </c>
      <c r="G48" s="88">
        <f t="shared" ref="G48:G51" si="9">(E26*$G$46*6*F48)+(F26*$G$46*6*F48)</f>
        <v>0</v>
      </c>
      <c r="H48" s="88">
        <f t="shared" si="8"/>
        <v>0</v>
      </c>
      <c r="I48" s="88"/>
    </row>
    <row r="49" spans="1:9" x14ac:dyDescent="0.25">
      <c r="F49" s="120">
        <f>21/45</f>
        <v>0.46666666666666667</v>
      </c>
      <c r="G49" s="88">
        <f t="shared" si="9"/>
        <v>75600</v>
      </c>
      <c r="H49" s="88">
        <f t="shared" si="8"/>
        <v>28000</v>
      </c>
      <c r="I49" s="88"/>
    </row>
    <row r="50" spans="1:9" x14ac:dyDescent="0.25">
      <c r="A50" s="32" t="s">
        <v>96</v>
      </c>
      <c r="B50" s="12" t="s">
        <v>40</v>
      </c>
      <c r="C50" s="12" t="s">
        <v>41</v>
      </c>
      <c r="F50" s="120">
        <f>29/45</f>
        <v>0.64444444444444449</v>
      </c>
      <c r="G50" s="88">
        <f t="shared" si="9"/>
        <v>0</v>
      </c>
      <c r="H50" s="88">
        <f t="shared" si="8"/>
        <v>0</v>
      </c>
      <c r="I50" s="88"/>
    </row>
    <row r="51" spans="1:9" x14ac:dyDescent="0.25">
      <c r="A51" s="32" t="s">
        <v>38</v>
      </c>
      <c r="B51" s="38">
        <f>+(B47/C34)</f>
        <v>268282.30296589143</v>
      </c>
      <c r="C51" s="36">
        <f>B51/48/45</f>
        <v>124.20476989161641</v>
      </c>
      <c r="F51" s="120">
        <f>37/45</f>
        <v>0.82222222222222219</v>
      </c>
      <c r="G51" s="88">
        <f t="shared" si="9"/>
        <v>14800</v>
      </c>
      <c r="H51" s="88">
        <f t="shared" si="8"/>
        <v>0</v>
      </c>
      <c r="I51" s="88"/>
    </row>
    <row r="52" spans="1:9" x14ac:dyDescent="0.25">
      <c r="A52" s="32" t="s">
        <v>39</v>
      </c>
      <c r="B52" s="38">
        <f>+(B48/C35)</f>
        <v>135551.57701562368</v>
      </c>
      <c r="C52" s="36">
        <f>B52/48/45</f>
        <v>62.755359729455407</v>
      </c>
      <c r="F52" s="120">
        <f>45/45</f>
        <v>1</v>
      </c>
      <c r="G52" s="88">
        <f>(E30*$G$46*6*F52)+(F30*$G$46*6*F52)</f>
        <v>20574000</v>
      </c>
      <c r="H52" s="88">
        <f>(E41*$H$46*5*F52)+(F41*$H$46*5*F52)</f>
        <v>11490000</v>
      </c>
      <c r="I52" s="88"/>
    </row>
    <row r="53" spans="1:9" x14ac:dyDescent="0.25">
      <c r="G53" s="89">
        <f>SUM(G47:G52)</f>
        <v>20664400</v>
      </c>
      <c r="H53" s="89">
        <f>SUM(H47:H52)</f>
        <v>11518000</v>
      </c>
      <c r="I53" s="78">
        <f>SUM(G53:H53)</f>
        <v>32182400</v>
      </c>
    </row>
    <row r="54" spans="1:9" x14ac:dyDescent="0.25">
      <c r="A54" s="32" t="s">
        <v>153</v>
      </c>
      <c r="B54" s="12" t="s">
        <v>40</v>
      </c>
      <c r="C54" s="12" t="s">
        <v>41</v>
      </c>
      <c r="I54" s="1"/>
    </row>
    <row r="55" spans="1:9" ht="13" x14ac:dyDescent="0.3">
      <c r="A55" s="32" t="s">
        <v>95</v>
      </c>
      <c r="B55" s="36">
        <f>(B39*$B$17)/C34</f>
        <v>12841.697735688404</v>
      </c>
      <c r="C55" s="36">
        <f>B55/48/45</f>
        <v>5.9452304331890762</v>
      </c>
      <c r="F55" s="87" t="s">
        <v>269</v>
      </c>
    </row>
    <row r="56" spans="1:9" x14ac:dyDescent="0.25">
      <c r="A56" s="32" t="s">
        <v>94</v>
      </c>
      <c r="B56" s="36">
        <f>(B40*$B$17)/C35</f>
        <v>7134.2765198268917</v>
      </c>
      <c r="C56" s="36">
        <f>B56/48/45</f>
        <v>3.3029057962161534</v>
      </c>
      <c r="F56" t="s">
        <v>154</v>
      </c>
      <c r="G56" s="59" t="s">
        <v>99</v>
      </c>
      <c r="I56" s="119"/>
    </row>
    <row r="57" spans="1:9" x14ac:dyDescent="0.25">
      <c r="F57" t="s">
        <v>167</v>
      </c>
      <c r="G57" s="125">
        <v>-83072</v>
      </c>
    </row>
    <row r="58" spans="1:9" x14ac:dyDescent="0.25">
      <c r="A58" s="32" t="s">
        <v>43</v>
      </c>
      <c r="B58" s="12" t="s">
        <v>40</v>
      </c>
      <c r="C58" s="12" t="s">
        <v>41</v>
      </c>
      <c r="F58" t="s">
        <v>73</v>
      </c>
      <c r="G58" s="125">
        <v>-53013</v>
      </c>
      <c r="H58" s="2"/>
    </row>
    <row r="59" spans="1:9" x14ac:dyDescent="0.25">
      <c r="A59" s="32" t="s">
        <v>58</v>
      </c>
      <c r="B59" s="36">
        <f>B18</f>
        <v>0</v>
      </c>
      <c r="C59" s="36">
        <f>B59/48/45</f>
        <v>0</v>
      </c>
      <c r="F59" t="s">
        <v>168</v>
      </c>
      <c r="G59" s="125">
        <v>-74640</v>
      </c>
    </row>
    <row r="60" spans="1:9" x14ac:dyDescent="0.25">
      <c r="A60" s="32" t="s">
        <v>59</v>
      </c>
      <c r="B60" s="36">
        <f>B19</f>
        <v>0</v>
      </c>
      <c r="C60" s="36">
        <f>C59</f>
        <v>0</v>
      </c>
      <c r="F60" t="s">
        <v>169</v>
      </c>
      <c r="G60" s="125">
        <v>-61397</v>
      </c>
    </row>
    <row r="61" spans="1:9" x14ac:dyDescent="0.25">
      <c r="F61" t="s">
        <v>170</v>
      </c>
      <c r="G61" s="125">
        <v>-117160</v>
      </c>
    </row>
    <row r="62" spans="1:9" x14ac:dyDescent="0.25">
      <c r="A62" s="32" t="s">
        <v>230</v>
      </c>
      <c r="B62" s="12" t="s">
        <v>44</v>
      </c>
      <c r="C62" s="12" t="s">
        <v>325</v>
      </c>
      <c r="D62" s="12" t="s">
        <v>45</v>
      </c>
      <c r="F62" t="s">
        <v>171</v>
      </c>
      <c r="G62" s="125">
        <v>-254440</v>
      </c>
    </row>
    <row r="63" spans="1:9" x14ac:dyDescent="0.25">
      <c r="A63" s="32" t="s">
        <v>38</v>
      </c>
      <c r="B63" s="38">
        <f>+B51+B55+B59</f>
        <v>281124.00070157985</v>
      </c>
      <c r="C63" s="38">
        <v>287500</v>
      </c>
      <c r="D63" s="39">
        <f>1-(B63/C63)</f>
        <v>2.2177388864070058E-2</v>
      </c>
      <c r="F63" t="s">
        <v>67</v>
      </c>
      <c r="G63" s="125">
        <v>-59700</v>
      </c>
    </row>
    <row r="64" spans="1:9" x14ac:dyDescent="0.25">
      <c r="A64" s="32" t="s">
        <v>39</v>
      </c>
      <c r="B64" s="38">
        <f>+B52+B56+B60</f>
        <v>142685.85353545059</v>
      </c>
      <c r="C64" s="38">
        <v>145500</v>
      </c>
      <c r="D64" s="39">
        <f>1-(B64/C64)</f>
        <v>1.9341212814772635E-2</v>
      </c>
      <c r="F64" t="s">
        <v>172</v>
      </c>
      <c r="G64" s="125">
        <v>-59480</v>
      </c>
    </row>
    <row r="65" spans="2:7" x14ac:dyDescent="0.25">
      <c r="F65" t="s">
        <v>72</v>
      </c>
      <c r="G65" s="125">
        <v>-32647</v>
      </c>
    </row>
    <row r="66" spans="2:7" x14ac:dyDescent="0.25">
      <c r="F66" t="s">
        <v>173</v>
      </c>
      <c r="G66" s="125">
        <v>-264884</v>
      </c>
    </row>
    <row r="67" spans="2:7" x14ac:dyDescent="0.25">
      <c r="B67" s="78"/>
      <c r="F67" t="s">
        <v>69</v>
      </c>
      <c r="G67" s="125">
        <v>-262081</v>
      </c>
    </row>
    <row r="68" spans="2:7" x14ac:dyDescent="0.25">
      <c r="B68" s="78"/>
      <c r="F68" t="s">
        <v>74</v>
      </c>
      <c r="G68" s="125">
        <v>-129065</v>
      </c>
    </row>
    <row r="69" spans="2:7" x14ac:dyDescent="0.25">
      <c r="F69" t="s">
        <v>174</v>
      </c>
      <c r="G69" s="125">
        <v>-121080</v>
      </c>
    </row>
    <row r="70" spans="2:7" x14ac:dyDescent="0.25">
      <c r="F70" t="s">
        <v>64</v>
      </c>
      <c r="G70" s="125">
        <v>-80798</v>
      </c>
    </row>
    <row r="71" spans="2:7" x14ac:dyDescent="0.25">
      <c r="F71" t="s">
        <v>65</v>
      </c>
      <c r="G71" s="125">
        <v>-95267</v>
      </c>
    </row>
    <row r="72" spans="2:7" x14ac:dyDescent="0.25">
      <c r="F72" t="s">
        <v>66</v>
      </c>
      <c r="G72" s="125">
        <v>-103932</v>
      </c>
    </row>
    <row r="73" spans="2:7" x14ac:dyDescent="0.25">
      <c r="F73" t="s">
        <v>175</v>
      </c>
      <c r="G73" s="125">
        <v>-36048</v>
      </c>
    </row>
    <row r="74" spans="2:7" x14ac:dyDescent="0.25">
      <c r="F74" t="s">
        <v>68</v>
      </c>
      <c r="G74" s="125">
        <v>-211938</v>
      </c>
    </row>
    <row r="75" spans="2:7" x14ac:dyDescent="0.25">
      <c r="F75" t="s">
        <v>176</v>
      </c>
      <c r="G75" s="125">
        <v>-101732</v>
      </c>
    </row>
    <row r="76" spans="2:7" x14ac:dyDescent="0.25">
      <c r="F76" t="s">
        <v>70</v>
      </c>
      <c r="G76" s="125">
        <v>-112527</v>
      </c>
    </row>
    <row r="77" spans="2:7" x14ac:dyDescent="0.25">
      <c r="F77" t="s">
        <v>177</v>
      </c>
      <c r="G77" s="125">
        <v>-63987</v>
      </c>
    </row>
    <row r="78" spans="2:7" x14ac:dyDescent="0.25">
      <c r="F78" t="s">
        <v>71</v>
      </c>
      <c r="G78" s="125">
        <v>-118002</v>
      </c>
    </row>
    <row r="79" spans="2:7" x14ac:dyDescent="0.25">
      <c r="G79" s="88">
        <f>SUM(G57:G78)</f>
        <v>-2496890</v>
      </c>
    </row>
  </sheetData>
  <sheetProtection algorithmName="SHA-512" hashValue="pUV8r9WWwE75XTOcqzGBYgNX7xUuyoBCjzucCME2mDOLMVip87eZ89IowayW0PUVWzaC/k0JZo1wHEY2t9OAFw==" saltValue="plWAfSIn3mCkYJSzAcKoPg==" spinCount="100000" sheet="1" objects="1" scenarios="1"/>
  <mergeCells count="5">
    <mergeCell ref="E34:G34"/>
    <mergeCell ref="H34:I34"/>
    <mergeCell ref="H23:I23"/>
    <mergeCell ref="E23:G23"/>
    <mergeCell ref="B23:C23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">
    <tabColor indexed="15"/>
    <pageSetUpPr fitToPage="1"/>
  </sheetPr>
  <dimension ref="B1:Q48"/>
  <sheetViews>
    <sheetView zoomScale="90" zoomScaleNormal="90" workbookViewId="0">
      <pane ySplit="7" topLeftCell="A11" activePane="bottomLeft" state="frozenSplit"/>
      <selection pane="bottomLeft" activeCell="P37" sqref="P37"/>
    </sheetView>
  </sheetViews>
  <sheetFormatPr baseColWidth="10" defaultColWidth="9.1796875" defaultRowHeight="15" customHeight="1" x14ac:dyDescent="0.25"/>
  <cols>
    <col min="1" max="1" width="2.1796875" style="2" bestFit="1" customWidth="1"/>
    <col min="2" max="2" width="9.1796875" style="2"/>
    <col min="3" max="3" width="34.26953125" style="51" customWidth="1"/>
    <col min="4" max="4" width="13.7265625" style="86" customWidth="1"/>
    <col min="5" max="5" width="14.453125" style="2" customWidth="1"/>
    <col min="6" max="6" width="14.26953125" style="2" customWidth="1"/>
    <col min="7" max="7" width="14.26953125" style="91" customWidth="1"/>
    <col min="8" max="8" width="14.26953125" style="50" customWidth="1"/>
    <col min="9" max="9" width="14.26953125" style="59" customWidth="1"/>
    <col min="10" max="10" width="14.26953125" style="50" customWidth="1"/>
    <col min="11" max="11" width="14.54296875" style="59" customWidth="1"/>
    <col min="12" max="12" width="14.26953125" style="50" customWidth="1"/>
    <col min="13" max="13" width="13" style="2" customWidth="1"/>
    <col min="14" max="14" width="8.7265625" style="2" bestFit="1" customWidth="1"/>
    <col min="15" max="15" width="12.1796875" style="2" bestFit="1" customWidth="1"/>
    <col min="16" max="16" width="12.54296875" style="2" bestFit="1" customWidth="1"/>
    <col min="17" max="17" width="16.54296875" style="2" customWidth="1"/>
    <col min="18" max="16384" width="9.1796875" style="2"/>
  </cols>
  <sheetData>
    <row r="1" spans="2:17" ht="15" customHeight="1" x14ac:dyDescent="0.25">
      <c r="F1" s="86"/>
      <c r="G1" s="151"/>
      <c r="H1" s="151"/>
    </row>
    <row r="2" spans="2:17" ht="15" customHeight="1" x14ac:dyDescent="0.25">
      <c r="F2" s="86"/>
      <c r="G2" s="151"/>
      <c r="H2" s="151"/>
      <c r="J2" s="178"/>
    </row>
    <row r="3" spans="2:17" ht="15" customHeight="1" x14ac:dyDescent="0.25">
      <c r="E3" s="86"/>
      <c r="F3" s="86"/>
      <c r="G3" s="151"/>
      <c r="H3" s="151"/>
      <c r="I3" s="151"/>
      <c r="J3" s="178"/>
    </row>
    <row r="4" spans="2:17" ht="15" customHeight="1" x14ac:dyDescent="0.25">
      <c r="E4" s="86"/>
      <c r="F4" s="86"/>
      <c r="G4" s="151"/>
      <c r="H4" s="151"/>
    </row>
    <row r="5" spans="2:17" ht="15" customHeight="1" x14ac:dyDescent="0.3">
      <c r="E5" s="146"/>
      <c r="F5" s="86"/>
      <c r="G5" s="151"/>
      <c r="H5" s="151"/>
      <c r="I5" s="151"/>
      <c r="J5" s="151"/>
    </row>
    <row r="7" spans="2:17" s="52" customFormat="1" ht="39" x14ac:dyDescent="0.3">
      <c r="C7" s="54" t="s">
        <v>61</v>
      </c>
      <c r="D7" s="55" t="s">
        <v>56</v>
      </c>
      <c r="E7" s="55" t="s">
        <v>57</v>
      </c>
      <c r="F7" s="147" t="s">
        <v>97</v>
      </c>
      <c r="G7" s="194">
        <f>ROUND(Forside!F43,0)</f>
        <v>281124</v>
      </c>
      <c r="H7" s="195">
        <f>ROUND(Forside!F44,0)</f>
        <v>142686</v>
      </c>
      <c r="I7" s="121" t="s">
        <v>290</v>
      </c>
      <c r="J7" s="121" t="s">
        <v>123</v>
      </c>
      <c r="K7" s="121" t="s">
        <v>444</v>
      </c>
      <c r="L7" s="90" t="s">
        <v>323</v>
      </c>
      <c r="M7" s="90" t="s">
        <v>324</v>
      </c>
    </row>
    <row r="8" spans="2:17" ht="15" customHeight="1" x14ac:dyDescent="0.35">
      <c r="B8" s="2">
        <v>22305</v>
      </c>
      <c r="C8" s="133" t="s">
        <v>232</v>
      </c>
      <c r="D8" s="79">
        <v>0</v>
      </c>
      <c r="E8" s="79">
        <v>25</v>
      </c>
      <c r="F8" s="79"/>
      <c r="G8" s="85">
        <f>D8*$G$7</f>
        <v>0</v>
      </c>
      <c r="H8" s="85">
        <f>E8*$H$7</f>
        <v>3567150</v>
      </c>
      <c r="I8" s="85">
        <f>G8+H8</f>
        <v>3567150</v>
      </c>
      <c r="J8" s="85">
        <f>(VLOOKUP(C8,Kapitaltilskudd!$A$3:$C$41,3,FALSE)*(D8+E8+F8))</f>
        <v>322500</v>
      </c>
      <c r="K8" s="182">
        <f>I8+J8</f>
        <v>3889650</v>
      </c>
      <c r="L8" s="85">
        <f>ROUND(K8/12*3,-3)</f>
        <v>972000</v>
      </c>
      <c r="M8" s="148">
        <f>ROUNDDOWN((K8-L8)/9,-3)</f>
        <v>324000</v>
      </c>
      <c r="P8" s="180"/>
      <c r="Q8" s="181"/>
    </row>
    <row r="9" spans="2:17" ht="15" customHeight="1" x14ac:dyDescent="0.35">
      <c r="B9" s="2">
        <v>24215</v>
      </c>
      <c r="C9" s="132" t="s">
        <v>233</v>
      </c>
      <c r="D9" s="79">
        <v>19</v>
      </c>
      <c r="E9" s="79">
        <v>28</v>
      </c>
      <c r="F9" s="79"/>
      <c r="G9" s="85">
        <f t="shared" ref="G9:G26" si="0">D9*$G$7</f>
        <v>5341356</v>
      </c>
      <c r="H9" s="85">
        <f t="shared" ref="H9:H25" si="1">E9*$H$7</f>
        <v>3995208</v>
      </c>
      <c r="I9" s="85">
        <f t="shared" ref="I9:I46" si="2">G9+H9</f>
        <v>9336564</v>
      </c>
      <c r="J9" s="85">
        <f>(VLOOKUP(C9,Kapitaltilskudd!$A$3:$C$41,3,FALSE)*(D9+E9+F9))</f>
        <v>606300</v>
      </c>
      <c r="K9" s="182">
        <f t="shared" ref="K9:K46" si="3">I9+J9</f>
        <v>9942864</v>
      </c>
      <c r="L9" s="85">
        <f t="shared" ref="L9:L46" si="4">ROUND(K9/12*3,-3)</f>
        <v>2486000</v>
      </c>
      <c r="M9" s="148">
        <f t="shared" ref="M9:M46" si="5">ROUNDDOWN((K9-L9)/9,-3)</f>
        <v>828000</v>
      </c>
      <c r="P9" s="180"/>
      <c r="Q9" s="181"/>
    </row>
    <row r="10" spans="2:17" ht="15" customHeight="1" x14ac:dyDescent="0.35">
      <c r="B10" s="2">
        <v>24217</v>
      </c>
      <c r="C10" s="132" t="s">
        <v>234</v>
      </c>
      <c r="D10" s="79">
        <v>13</v>
      </c>
      <c r="E10" s="79">
        <v>40</v>
      </c>
      <c r="F10" s="79"/>
      <c r="G10" s="85">
        <f t="shared" si="0"/>
        <v>3654612</v>
      </c>
      <c r="H10" s="85">
        <f t="shared" si="1"/>
        <v>5707440</v>
      </c>
      <c r="I10" s="85">
        <f t="shared" si="2"/>
        <v>9362052</v>
      </c>
      <c r="J10" s="85">
        <f>(VLOOKUP(C10,Kapitaltilskudd!$A$3:$C$41,3,FALSE)*(D10+E10+F10))</f>
        <v>683700</v>
      </c>
      <c r="K10" s="182">
        <f t="shared" si="3"/>
        <v>10045752</v>
      </c>
      <c r="L10" s="85">
        <f t="shared" si="4"/>
        <v>2511000</v>
      </c>
      <c r="M10" s="148">
        <f t="shared" si="5"/>
        <v>837000</v>
      </c>
      <c r="P10" s="180"/>
      <c r="Q10" s="181"/>
    </row>
    <row r="11" spans="2:17" ht="15" customHeight="1" x14ac:dyDescent="0.35">
      <c r="B11" s="2">
        <v>24218</v>
      </c>
      <c r="C11" s="132" t="s">
        <v>235</v>
      </c>
      <c r="D11" s="79">
        <v>13</v>
      </c>
      <c r="E11" s="79">
        <v>40</v>
      </c>
      <c r="F11" s="79"/>
      <c r="G11" s="85">
        <f>D11*$G$7</f>
        <v>3654612</v>
      </c>
      <c r="H11" s="85">
        <f t="shared" si="1"/>
        <v>5707440</v>
      </c>
      <c r="I11" s="85">
        <f t="shared" si="2"/>
        <v>9362052</v>
      </c>
      <c r="J11" s="85">
        <f>(VLOOKUP(C11,Kapitaltilskudd!$A$3:$C$41,3,FALSE)*(D11+E11+F11))</f>
        <v>683700</v>
      </c>
      <c r="K11" s="182">
        <f t="shared" si="3"/>
        <v>10045752</v>
      </c>
      <c r="L11" s="85">
        <f t="shared" si="4"/>
        <v>2511000</v>
      </c>
      <c r="M11" s="148">
        <f t="shared" si="5"/>
        <v>837000</v>
      </c>
      <c r="P11" s="180"/>
      <c r="Q11" s="181"/>
    </row>
    <row r="12" spans="2:17" ht="15" customHeight="1" x14ac:dyDescent="0.35">
      <c r="B12" s="2">
        <v>24219</v>
      </c>
      <c r="C12" s="132" t="s">
        <v>236</v>
      </c>
      <c r="D12" s="79">
        <v>16</v>
      </c>
      <c r="E12" s="79">
        <v>34</v>
      </c>
      <c r="F12" s="79"/>
      <c r="G12" s="85">
        <f t="shared" si="0"/>
        <v>4497984</v>
      </c>
      <c r="H12" s="85">
        <f t="shared" si="1"/>
        <v>4851324</v>
      </c>
      <c r="I12" s="85">
        <f t="shared" si="2"/>
        <v>9349308</v>
      </c>
      <c r="J12" s="85">
        <f>(VLOOKUP(C12,Kapitaltilskudd!$A$3:$C$41,3,FALSE)*(D12+E12+F12))</f>
        <v>645000</v>
      </c>
      <c r="K12" s="182">
        <f t="shared" si="3"/>
        <v>9994308</v>
      </c>
      <c r="L12" s="85">
        <f t="shared" si="4"/>
        <v>2499000</v>
      </c>
      <c r="M12" s="148">
        <f t="shared" si="5"/>
        <v>832000</v>
      </c>
      <c r="P12" s="180"/>
      <c r="Q12" s="181"/>
    </row>
    <row r="13" spans="2:17" ht="15" customHeight="1" x14ac:dyDescent="0.35">
      <c r="B13" s="2">
        <v>24223</v>
      </c>
      <c r="C13" s="132" t="s">
        <v>237</v>
      </c>
      <c r="D13" s="79">
        <v>21</v>
      </c>
      <c r="E13" s="79">
        <v>28</v>
      </c>
      <c r="F13" s="79"/>
      <c r="G13" s="85">
        <f t="shared" si="0"/>
        <v>5903604</v>
      </c>
      <c r="H13" s="85">
        <f t="shared" si="1"/>
        <v>3995208</v>
      </c>
      <c r="I13" s="85">
        <f t="shared" si="2"/>
        <v>9898812</v>
      </c>
      <c r="J13" s="85">
        <f>(VLOOKUP(C13,Kapitaltilskudd!$A$3:$C$41,3,FALSE)*(D13+E13+F13))</f>
        <v>632100</v>
      </c>
      <c r="K13" s="182">
        <f t="shared" si="3"/>
        <v>10530912</v>
      </c>
      <c r="L13" s="85">
        <f t="shared" si="4"/>
        <v>2633000</v>
      </c>
      <c r="M13" s="148">
        <f t="shared" si="5"/>
        <v>877000</v>
      </c>
      <c r="P13" s="180"/>
      <c r="Q13" s="181"/>
    </row>
    <row r="14" spans="2:17" ht="15" customHeight="1" x14ac:dyDescent="0.35">
      <c r="B14" s="2">
        <v>24224</v>
      </c>
      <c r="C14" s="132" t="s">
        <v>238</v>
      </c>
      <c r="D14" s="79">
        <v>13</v>
      </c>
      <c r="E14" s="79">
        <v>29</v>
      </c>
      <c r="F14" s="79"/>
      <c r="G14" s="85">
        <f t="shared" si="0"/>
        <v>3654612</v>
      </c>
      <c r="H14" s="85">
        <f t="shared" si="1"/>
        <v>4137894</v>
      </c>
      <c r="I14" s="85">
        <f t="shared" si="2"/>
        <v>7792506</v>
      </c>
      <c r="J14" s="85">
        <f>(VLOOKUP(C14,Kapitaltilskudd!$A$3:$C$41,3,FALSE)*(D14+E14+F14))</f>
        <v>541800</v>
      </c>
      <c r="K14" s="182">
        <f t="shared" si="3"/>
        <v>8334306</v>
      </c>
      <c r="L14" s="85">
        <f t="shared" si="4"/>
        <v>2084000</v>
      </c>
      <c r="M14" s="148">
        <f t="shared" si="5"/>
        <v>694000</v>
      </c>
      <c r="P14" s="180"/>
      <c r="Q14" s="181"/>
    </row>
    <row r="15" spans="2:17" ht="15" customHeight="1" x14ac:dyDescent="0.35">
      <c r="B15" s="2">
        <v>24225</v>
      </c>
      <c r="C15" s="132" t="s">
        <v>239</v>
      </c>
      <c r="D15" s="79">
        <v>10</v>
      </c>
      <c r="E15" s="79">
        <v>18</v>
      </c>
      <c r="F15" s="79"/>
      <c r="G15" s="85">
        <f t="shared" si="0"/>
        <v>2811240</v>
      </c>
      <c r="H15" s="85">
        <f t="shared" si="1"/>
        <v>2568348</v>
      </c>
      <c r="I15" s="85">
        <f t="shared" si="2"/>
        <v>5379588</v>
      </c>
      <c r="J15" s="85">
        <f>(VLOOKUP(C15,Kapitaltilskudd!$A$3:$C$41,3,FALSE)*(D15+E15+F15))</f>
        <v>361200</v>
      </c>
      <c r="K15" s="182">
        <f t="shared" si="3"/>
        <v>5740788</v>
      </c>
      <c r="L15" s="85">
        <f t="shared" si="4"/>
        <v>1435000</v>
      </c>
      <c r="M15" s="148">
        <f t="shared" si="5"/>
        <v>478000</v>
      </c>
      <c r="P15" s="180"/>
      <c r="Q15" s="181"/>
    </row>
    <row r="16" spans="2:17" ht="15" customHeight="1" x14ac:dyDescent="0.35">
      <c r="B16" s="2">
        <v>24226</v>
      </c>
      <c r="C16" s="132" t="s">
        <v>240</v>
      </c>
      <c r="D16" s="79">
        <v>24</v>
      </c>
      <c r="E16" s="79">
        <v>49</v>
      </c>
      <c r="F16" s="79"/>
      <c r="G16" s="85">
        <f t="shared" si="0"/>
        <v>6746976</v>
      </c>
      <c r="H16" s="85">
        <f t="shared" si="1"/>
        <v>6991614</v>
      </c>
      <c r="I16" s="85">
        <f t="shared" si="2"/>
        <v>13738590</v>
      </c>
      <c r="J16" s="85">
        <f>(VLOOKUP(C16,Kapitaltilskudd!$A$3:$C$41,3,FALSE)*(D16+E16+F16))</f>
        <v>941700</v>
      </c>
      <c r="K16" s="182">
        <f t="shared" si="3"/>
        <v>14680290</v>
      </c>
      <c r="L16" s="85">
        <f t="shared" si="4"/>
        <v>3670000</v>
      </c>
      <c r="M16" s="148">
        <f t="shared" si="5"/>
        <v>1223000</v>
      </c>
      <c r="P16" s="180"/>
      <c r="Q16" s="181"/>
    </row>
    <row r="17" spans="2:17" ht="15" customHeight="1" x14ac:dyDescent="0.35">
      <c r="B17" s="2">
        <v>24227</v>
      </c>
      <c r="C17" s="132" t="s">
        <v>241</v>
      </c>
      <c r="D17" s="79">
        <v>39</v>
      </c>
      <c r="E17" s="79">
        <v>73</v>
      </c>
      <c r="F17" s="79"/>
      <c r="G17" s="85">
        <f t="shared" si="0"/>
        <v>10963836</v>
      </c>
      <c r="H17" s="85">
        <f t="shared" si="1"/>
        <v>10416078</v>
      </c>
      <c r="I17" s="85">
        <f t="shared" si="2"/>
        <v>21379914</v>
      </c>
      <c r="J17" s="85">
        <f>(VLOOKUP(C17,Kapitaltilskudd!$A$3:$C$41,3,FALSE)*(D17+E17+F17))</f>
        <v>1444800</v>
      </c>
      <c r="K17" s="182">
        <f t="shared" si="3"/>
        <v>22824714</v>
      </c>
      <c r="L17" s="85">
        <f t="shared" si="4"/>
        <v>5706000</v>
      </c>
      <c r="M17" s="148">
        <f t="shared" si="5"/>
        <v>1902000</v>
      </c>
      <c r="P17" s="180"/>
      <c r="Q17" s="181"/>
    </row>
    <row r="18" spans="2:17" ht="15" customHeight="1" x14ac:dyDescent="0.35">
      <c r="B18" s="2">
        <v>24228</v>
      </c>
      <c r="C18" s="132" t="s">
        <v>242</v>
      </c>
      <c r="D18" s="79">
        <v>10</v>
      </c>
      <c r="E18" s="79">
        <v>22</v>
      </c>
      <c r="F18" s="79"/>
      <c r="G18" s="85">
        <f t="shared" si="0"/>
        <v>2811240</v>
      </c>
      <c r="H18" s="85">
        <f t="shared" si="1"/>
        <v>3139092</v>
      </c>
      <c r="I18" s="85">
        <f t="shared" si="2"/>
        <v>5950332</v>
      </c>
      <c r="J18" s="85">
        <f>(VLOOKUP(C18,Kapitaltilskudd!$A$3:$C$41,3,FALSE)*(D18+E18+F18))</f>
        <v>412800</v>
      </c>
      <c r="K18" s="182">
        <f t="shared" si="3"/>
        <v>6363132</v>
      </c>
      <c r="L18" s="85">
        <f t="shared" si="4"/>
        <v>1591000</v>
      </c>
      <c r="M18" s="148">
        <f t="shared" si="5"/>
        <v>530000</v>
      </c>
      <c r="P18" s="180"/>
      <c r="Q18" s="181"/>
    </row>
    <row r="19" spans="2:17" ht="15" customHeight="1" x14ac:dyDescent="0.35">
      <c r="B19" s="2">
        <v>24230</v>
      </c>
      <c r="C19" s="132" t="s">
        <v>243</v>
      </c>
      <c r="D19" s="79">
        <v>12</v>
      </c>
      <c r="E19" s="79">
        <v>32</v>
      </c>
      <c r="F19" s="79"/>
      <c r="G19" s="85">
        <f t="shared" si="0"/>
        <v>3373488</v>
      </c>
      <c r="H19" s="85">
        <f t="shared" si="1"/>
        <v>4565952</v>
      </c>
      <c r="I19" s="85">
        <f t="shared" si="2"/>
        <v>7939440</v>
      </c>
      <c r="J19" s="85">
        <f>(VLOOKUP(C19,Kapitaltilskudd!$A$3:$C$41,3,FALSE)*(D19+E19+F19))</f>
        <v>567600</v>
      </c>
      <c r="K19" s="182">
        <f t="shared" si="3"/>
        <v>8507040</v>
      </c>
      <c r="L19" s="85">
        <f t="shared" si="4"/>
        <v>2127000</v>
      </c>
      <c r="M19" s="148">
        <f t="shared" si="5"/>
        <v>708000</v>
      </c>
      <c r="P19" s="180"/>
      <c r="Q19" s="181"/>
    </row>
    <row r="20" spans="2:17" ht="15" customHeight="1" x14ac:dyDescent="0.35">
      <c r="B20" s="2">
        <v>24231</v>
      </c>
      <c r="C20" s="132" t="s">
        <v>244</v>
      </c>
      <c r="D20" s="79"/>
      <c r="E20" s="79">
        <v>40</v>
      </c>
      <c r="F20" s="79"/>
      <c r="G20" s="85">
        <f t="shared" si="0"/>
        <v>0</v>
      </c>
      <c r="H20" s="113">
        <f>E20*Satser!$D$19</f>
        <v>1072000</v>
      </c>
      <c r="I20" s="85">
        <f t="shared" si="2"/>
        <v>1072000</v>
      </c>
      <c r="J20" s="85">
        <v>0</v>
      </c>
      <c r="K20" s="182">
        <f t="shared" si="3"/>
        <v>1072000</v>
      </c>
      <c r="L20" s="85">
        <f t="shared" si="4"/>
        <v>268000</v>
      </c>
      <c r="M20" s="148">
        <f t="shared" si="5"/>
        <v>89000</v>
      </c>
      <c r="P20" s="180"/>
      <c r="Q20" s="181"/>
    </row>
    <row r="21" spans="2:17" ht="15" customHeight="1" x14ac:dyDescent="0.35">
      <c r="B21" s="2">
        <v>24232</v>
      </c>
      <c r="C21" s="132" t="s">
        <v>245</v>
      </c>
      <c r="D21" s="79">
        <v>9</v>
      </c>
      <c r="E21" s="79">
        <v>18</v>
      </c>
      <c r="F21" s="79"/>
      <c r="G21" s="85">
        <f t="shared" si="0"/>
        <v>2530116</v>
      </c>
      <c r="H21" s="85">
        <f t="shared" si="1"/>
        <v>2568348</v>
      </c>
      <c r="I21" s="85">
        <f>G21+H21</f>
        <v>5098464</v>
      </c>
      <c r="J21" s="85">
        <f>(VLOOKUP(C21,Kapitaltilskudd!$A$3:$C$41,3,FALSE)*(D21+E21+F21))</f>
        <v>348300</v>
      </c>
      <c r="K21" s="182">
        <f t="shared" si="3"/>
        <v>5446764</v>
      </c>
      <c r="L21" s="85">
        <f t="shared" si="4"/>
        <v>1362000</v>
      </c>
      <c r="M21" s="148">
        <f t="shared" si="5"/>
        <v>453000</v>
      </c>
      <c r="P21" s="180"/>
      <c r="Q21" s="181"/>
    </row>
    <row r="22" spans="2:17" ht="15" customHeight="1" x14ac:dyDescent="0.35">
      <c r="B22" s="2">
        <v>24233</v>
      </c>
      <c r="C22" s="132" t="s">
        <v>246</v>
      </c>
      <c r="D22" s="79">
        <v>17</v>
      </c>
      <c r="E22" s="79">
        <v>22</v>
      </c>
      <c r="F22" s="79"/>
      <c r="G22" s="85">
        <f t="shared" si="0"/>
        <v>4779108</v>
      </c>
      <c r="H22" s="85">
        <f t="shared" si="1"/>
        <v>3139092</v>
      </c>
      <c r="I22" s="85">
        <f t="shared" si="2"/>
        <v>7918200</v>
      </c>
      <c r="J22" s="85">
        <f>(VLOOKUP(C22,Kapitaltilskudd!$A$3:$C$41,3,FALSE)*(D22+E22+F22))</f>
        <v>503100</v>
      </c>
      <c r="K22" s="182">
        <f t="shared" si="3"/>
        <v>8421300</v>
      </c>
      <c r="L22" s="85">
        <f t="shared" si="4"/>
        <v>2105000</v>
      </c>
      <c r="M22" s="148">
        <f t="shared" si="5"/>
        <v>701000</v>
      </c>
      <c r="P22" s="180"/>
      <c r="Q22" s="181"/>
    </row>
    <row r="23" spans="2:17" ht="15" customHeight="1" x14ac:dyDescent="0.35">
      <c r="B23" s="2">
        <v>24234</v>
      </c>
      <c r="C23" s="132" t="s">
        <v>247</v>
      </c>
      <c r="D23" s="79">
        <v>20</v>
      </c>
      <c r="E23" s="79">
        <v>38</v>
      </c>
      <c r="F23" s="79"/>
      <c r="G23" s="85">
        <f t="shared" si="0"/>
        <v>5622480</v>
      </c>
      <c r="H23" s="85">
        <f t="shared" si="1"/>
        <v>5422068</v>
      </c>
      <c r="I23" s="85">
        <f t="shared" si="2"/>
        <v>11044548</v>
      </c>
      <c r="J23" s="85">
        <f>(VLOOKUP(C23,Kapitaltilskudd!$A$3:$C$41,3,FALSE)*(D23+E23+F23))</f>
        <v>748200</v>
      </c>
      <c r="K23" s="182">
        <f t="shared" si="3"/>
        <v>11792748</v>
      </c>
      <c r="L23" s="85">
        <f t="shared" si="4"/>
        <v>2948000</v>
      </c>
      <c r="M23" s="148">
        <f t="shared" si="5"/>
        <v>982000</v>
      </c>
      <c r="P23" s="180"/>
      <c r="Q23" s="181"/>
    </row>
    <row r="24" spans="2:17" ht="15" customHeight="1" x14ac:dyDescent="0.35">
      <c r="B24" s="2">
        <v>24235</v>
      </c>
      <c r="C24" s="132" t="s">
        <v>248</v>
      </c>
      <c r="D24" s="79">
        <v>34</v>
      </c>
      <c r="E24" s="79">
        <v>46</v>
      </c>
      <c r="F24" s="79"/>
      <c r="G24" s="85">
        <f t="shared" si="0"/>
        <v>9558216</v>
      </c>
      <c r="H24" s="85">
        <f t="shared" si="1"/>
        <v>6563556</v>
      </c>
      <c r="I24" s="85">
        <f t="shared" si="2"/>
        <v>16121772</v>
      </c>
      <c r="J24" s="85">
        <f>(VLOOKUP(C24,Kapitaltilskudd!$A$3:$C$41,3,FALSE)*(D24+E24+F24))</f>
        <v>1032000</v>
      </c>
      <c r="K24" s="182">
        <f t="shared" si="3"/>
        <v>17153772</v>
      </c>
      <c r="L24" s="85">
        <f t="shared" si="4"/>
        <v>4288000</v>
      </c>
      <c r="M24" s="148">
        <f t="shared" si="5"/>
        <v>1429000</v>
      </c>
      <c r="P24" s="180"/>
      <c r="Q24" s="181"/>
    </row>
    <row r="25" spans="2:17" ht="15" customHeight="1" x14ac:dyDescent="0.35">
      <c r="B25" s="2">
        <v>24236</v>
      </c>
      <c r="C25" s="132" t="s">
        <v>249</v>
      </c>
      <c r="D25" s="79">
        <v>12</v>
      </c>
      <c r="E25" s="79">
        <v>25</v>
      </c>
      <c r="F25" s="79"/>
      <c r="G25" s="85">
        <f t="shared" si="0"/>
        <v>3373488</v>
      </c>
      <c r="H25" s="85">
        <f t="shared" si="1"/>
        <v>3567150</v>
      </c>
      <c r="I25" s="85">
        <f t="shared" si="2"/>
        <v>6940638</v>
      </c>
      <c r="J25" s="85">
        <f>(VLOOKUP(C25,Kapitaltilskudd!$A$3:$C$41,3,FALSE)*(D25+E25+F25))</f>
        <v>477300</v>
      </c>
      <c r="K25" s="182">
        <f t="shared" si="3"/>
        <v>7417938</v>
      </c>
      <c r="L25" s="85">
        <f t="shared" si="4"/>
        <v>1854000</v>
      </c>
      <c r="M25" s="148">
        <f t="shared" si="5"/>
        <v>618000</v>
      </c>
      <c r="P25" s="180"/>
      <c r="Q25" s="181"/>
    </row>
    <row r="26" spans="2:17" ht="15" customHeight="1" x14ac:dyDescent="0.35">
      <c r="B26" s="2">
        <v>24237</v>
      </c>
      <c r="C26" s="132" t="s">
        <v>250</v>
      </c>
      <c r="D26" s="79">
        <v>8</v>
      </c>
      <c r="E26" s="79">
        <v>12</v>
      </c>
      <c r="F26" s="79"/>
      <c r="G26" s="85">
        <f t="shared" si="0"/>
        <v>2248992</v>
      </c>
      <c r="H26" s="85">
        <f>E26*$H$7</f>
        <v>1712232</v>
      </c>
      <c r="I26" s="85">
        <f t="shared" si="2"/>
        <v>3961224</v>
      </c>
      <c r="J26" s="85">
        <f>(VLOOKUP(C26,Kapitaltilskudd!$A$3:$C$41,3,FALSE)*(D26+E26+F26))</f>
        <v>258000</v>
      </c>
      <c r="K26" s="182">
        <f t="shared" si="3"/>
        <v>4219224</v>
      </c>
      <c r="L26" s="85">
        <f t="shared" si="4"/>
        <v>1055000</v>
      </c>
      <c r="M26" s="148">
        <f t="shared" si="5"/>
        <v>351000</v>
      </c>
      <c r="P26" s="180"/>
      <c r="Q26" s="181"/>
    </row>
    <row r="27" spans="2:17" ht="15" customHeight="1" x14ac:dyDescent="0.35">
      <c r="B27" s="2">
        <v>24238</v>
      </c>
      <c r="C27" s="132" t="s">
        <v>251</v>
      </c>
      <c r="D27" s="79">
        <v>5</v>
      </c>
      <c r="E27" s="79">
        <v>13</v>
      </c>
      <c r="F27" s="79"/>
      <c r="G27" s="85">
        <f t="shared" ref="G27:G45" si="6">D27*$G$7</f>
        <v>1405620</v>
      </c>
      <c r="H27" s="85">
        <f t="shared" ref="H27:H46" si="7">E27*$H$7</f>
        <v>1854918</v>
      </c>
      <c r="I27" s="85">
        <f t="shared" si="2"/>
        <v>3260538</v>
      </c>
      <c r="J27" s="85">
        <f>(VLOOKUP(C27,Kapitaltilskudd!$A$3:$C$41,3,FALSE)*(D27+E27+F27))</f>
        <v>232200</v>
      </c>
      <c r="K27" s="182">
        <f t="shared" si="3"/>
        <v>3492738</v>
      </c>
      <c r="L27" s="85">
        <f t="shared" si="4"/>
        <v>873000</v>
      </c>
      <c r="M27" s="148">
        <f t="shared" si="5"/>
        <v>291000</v>
      </c>
      <c r="P27" s="180"/>
      <c r="Q27" s="181"/>
    </row>
    <row r="28" spans="2:17" ht="15" customHeight="1" x14ac:dyDescent="0.35">
      <c r="B28" s="2">
        <v>24242</v>
      </c>
      <c r="C28" s="132" t="s">
        <v>252</v>
      </c>
      <c r="D28" s="79">
        <v>52</v>
      </c>
      <c r="E28" s="79">
        <v>92</v>
      </c>
      <c r="F28" s="79"/>
      <c r="G28" s="85">
        <f t="shared" si="6"/>
        <v>14618448</v>
      </c>
      <c r="H28" s="85">
        <f t="shared" si="7"/>
        <v>13127112</v>
      </c>
      <c r="I28" s="85">
        <f t="shared" si="2"/>
        <v>27745560</v>
      </c>
      <c r="J28" s="85">
        <f>(VLOOKUP(C28,Kapitaltilskudd!$A$3:$C$41,3,FALSE)*(D28+E28+F28))</f>
        <v>1857600</v>
      </c>
      <c r="K28" s="182">
        <f t="shared" si="3"/>
        <v>29603160</v>
      </c>
      <c r="L28" s="85">
        <f t="shared" si="4"/>
        <v>7401000</v>
      </c>
      <c r="M28" s="148">
        <f t="shared" si="5"/>
        <v>2466000</v>
      </c>
      <c r="P28" s="180"/>
      <c r="Q28" s="181"/>
    </row>
    <row r="29" spans="2:17" ht="15" customHeight="1" x14ac:dyDescent="0.35">
      <c r="B29" s="2">
        <v>24244</v>
      </c>
      <c r="C29" s="132" t="s">
        <v>253</v>
      </c>
      <c r="D29" s="79">
        <v>6</v>
      </c>
      <c r="E29" s="79">
        <v>12</v>
      </c>
      <c r="F29" s="79"/>
      <c r="G29" s="85">
        <f t="shared" si="6"/>
        <v>1686744</v>
      </c>
      <c r="H29" s="85">
        <f t="shared" si="7"/>
        <v>1712232</v>
      </c>
      <c r="I29" s="85">
        <f t="shared" si="2"/>
        <v>3398976</v>
      </c>
      <c r="J29" s="85">
        <f>(VLOOKUP(C29,Kapitaltilskudd!$A$3:$C$41,3,FALSE)*(D29+E29+F29))</f>
        <v>232200</v>
      </c>
      <c r="K29" s="182">
        <f t="shared" si="3"/>
        <v>3631176</v>
      </c>
      <c r="L29" s="85">
        <f t="shared" si="4"/>
        <v>908000</v>
      </c>
      <c r="M29" s="148">
        <f t="shared" si="5"/>
        <v>302000</v>
      </c>
      <c r="P29" s="180"/>
      <c r="Q29" s="181"/>
    </row>
    <row r="30" spans="2:17" ht="15" customHeight="1" x14ac:dyDescent="0.35">
      <c r="B30" s="2">
        <v>24245</v>
      </c>
      <c r="C30" s="132" t="s">
        <v>254</v>
      </c>
      <c r="D30" s="79">
        <v>30</v>
      </c>
      <c r="E30" s="79">
        <v>60</v>
      </c>
      <c r="F30" s="79"/>
      <c r="G30" s="85">
        <f t="shared" si="6"/>
        <v>8433720</v>
      </c>
      <c r="H30" s="85">
        <f t="shared" si="7"/>
        <v>8561160</v>
      </c>
      <c r="I30" s="85">
        <f t="shared" si="2"/>
        <v>16994880</v>
      </c>
      <c r="J30" s="85">
        <f>(VLOOKUP(C30,Kapitaltilskudd!$A$3:$C$41,3,FALSE)*(D30+E30+F30))</f>
        <v>1161000</v>
      </c>
      <c r="K30" s="182">
        <f t="shared" si="3"/>
        <v>18155880</v>
      </c>
      <c r="L30" s="85">
        <f t="shared" si="4"/>
        <v>4539000</v>
      </c>
      <c r="M30" s="148">
        <f t="shared" si="5"/>
        <v>1512000</v>
      </c>
      <c r="P30" s="180"/>
      <c r="Q30" s="181"/>
    </row>
    <row r="31" spans="2:17" ht="15" customHeight="1" x14ac:dyDescent="0.35">
      <c r="B31" s="2">
        <v>24246</v>
      </c>
      <c r="C31" s="132" t="s">
        <v>255</v>
      </c>
      <c r="D31" s="79">
        <v>10</v>
      </c>
      <c r="E31" s="79">
        <v>18</v>
      </c>
      <c r="F31" s="79"/>
      <c r="G31" s="85">
        <f t="shared" si="6"/>
        <v>2811240</v>
      </c>
      <c r="H31" s="85">
        <f t="shared" si="7"/>
        <v>2568348</v>
      </c>
      <c r="I31" s="85">
        <f t="shared" si="2"/>
        <v>5379588</v>
      </c>
      <c r="J31" s="85">
        <f>(VLOOKUP(C31,Kapitaltilskudd!$A$3:$C$41,3,FALSE)*(D31+E31+F31))</f>
        <v>361200</v>
      </c>
      <c r="K31" s="182">
        <f t="shared" si="3"/>
        <v>5740788</v>
      </c>
      <c r="L31" s="85">
        <f t="shared" si="4"/>
        <v>1435000</v>
      </c>
      <c r="M31" s="148">
        <f t="shared" si="5"/>
        <v>478000</v>
      </c>
      <c r="P31" s="180"/>
      <c r="Q31" s="181"/>
    </row>
    <row r="32" spans="2:17" ht="15" customHeight="1" x14ac:dyDescent="0.35">
      <c r="B32" s="2">
        <v>24247</v>
      </c>
      <c r="C32" s="132" t="s">
        <v>256</v>
      </c>
      <c r="D32" s="79">
        <v>5</v>
      </c>
      <c r="E32" s="79">
        <v>8</v>
      </c>
      <c r="F32" s="79"/>
      <c r="G32" s="85">
        <f t="shared" si="6"/>
        <v>1405620</v>
      </c>
      <c r="H32" s="85">
        <f t="shared" si="7"/>
        <v>1141488</v>
      </c>
      <c r="I32" s="85">
        <f t="shared" si="2"/>
        <v>2547108</v>
      </c>
      <c r="J32" s="85">
        <f>(VLOOKUP(C32,Kapitaltilskudd!$A$3:$C$41,3,FALSE)*(D32+E32+F32))</f>
        <v>167700</v>
      </c>
      <c r="K32" s="182">
        <f t="shared" si="3"/>
        <v>2714808</v>
      </c>
      <c r="L32" s="85">
        <f t="shared" si="4"/>
        <v>679000</v>
      </c>
      <c r="M32" s="148">
        <f t="shared" si="5"/>
        <v>226000</v>
      </c>
      <c r="P32" s="180"/>
      <c r="Q32" s="181"/>
    </row>
    <row r="33" spans="2:17" ht="15" customHeight="1" x14ac:dyDescent="0.35">
      <c r="B33" s="2">
        <v>24248</v>
      </c>
      <c r="C33" s="132" t="s">
        <v>257</v>
      </c>
      <c r="D33" s="79">
        <v>40</v>
      </c>
      <c r="E33" s="79">
        <v>62</v>
      </c>
      <c r="F33" s="79"/>
      <c r="G33" s="85">
        <f t="shared" si="6"/>
        <v>11244960</v>
      </c>
      <c r="H33" s="85">
        <f t="shared" si="7"/>
        <v>8846532</v>
      </c>
      <c r="I33" s="85">
        <f t="shared" si="2"/>
        <v>20091492</v>
      </c>
      <c r="J33" s="85">
        <f>(VLOOKUP(C33,Kapitaltilskudd!$A$3:$C$41,3,FALSE)*(D33+E33+F33))</f>
        <v>1315800</v>
      </c>
      <c r="K33" s="182">
        <f t="shared" si="3"/>
        <v>21407292</v>
      </c>
      <c r="L33" s="85">
        <f t="shared" si="4"/>
        <v>5352000</v>
      </c>
      <c r="M33" s="148">
        <f t="shared" si="5"/>
        <v>1783000</v>
      </c>
      <c r="P33" s="180"/>
      <c r="Q33" s="181"/>
    </row>
    <row r="34" spans="2:17" ht="15" customHeight="1" x14ac:dyDescent="0.35">
      <c r="B34" s="2">
        <v>24249</v>
      </c>
      <c r="C34" s="132" t="s">
        <v>328</v>
      </c>
      <c r="D34" s="79">
        <v>15</v>
      </c>
      <c r="E34" s="79">
        <v>23.822222222222223</v>
      </c>
      <c r="F34" s="79"/>
      <c r="G34" s="85">
        <f t="shared" si="6"/>
        <v>4216860</v>
      </c>
      <c r="H34" s="85">
        <f t="shared" si="7"/>
        <v>3399097.6</v>
      </c>
      <c r="I34" s="85">
        <f t="shared" si="2"/>
        <v>7615957.5999999996</v>
      </c>
      <c r="J34" s="85">
        <f>(VLOOKUP(C34,Kapitaltilskudd!$A$3:$C$41,3,FALSE)*(D34+E34+F34))</f>
        <v>500806.66666666669</v>
      </c>
      <c r="K34" s="182">
        <f t="shared" si="3"/>
        <v>8116764.2666666666</v>
      </c>
      <c r="L34" s="85">
        <f t="shared" si="4"/>
        <v>2029000</v>
      </c>
      <c r="M34" s="148">
        <f t="shared" si="5"/>
        <v>676000</v>
      </c>
      <c r="P34" s="180"/>
      <c r="Q34" s="181"/>
    </row>
    <row r="35" spans="2:17" ht="15" customHeight="1" x14ac:dyDescent="0.35">
      <c r="B35" s="2">
        <v>24250</v>
      </c>
      <c r="C35" s="132" t="s">
        <v>258</v>
      </c>
      <c r="D35" s="79">
        <v>9</v>
      </c>
      <c r="E35" s="79">
        <v>16</v>
      </c>
      <c r="F35" s="79"/>
      <c r="G35" s="85">
        <f t="shared" si="6"/>
        <v>2530116</v>
      </c>
      <c r="H35" s="85">
        <f t="shared" si="7"/>
        <v>2282976</v>
      </c>
      <c r="I35" s="85">
        <f t="shared" si="2"/>
        <v>4813092</v>
      </c>
      <c r="J35" s="85">
        <f>(VLOOKUP(C35,Kapitaltilskudd!$A$3:$C$41,3,FALSE)*(D35+E35+F35))</f>
        <v>322500</v>
      </c>
      <c r="K35" s="182">
        <f t="shared" si="3"/>
        <v>5135592</v>
      </c>
      <c r="L35" s="85">
        <f t="shared" si="4"/>
        <v>1284000</v>
      </c>
      <c r="M35" s="148">
        <f t="shared" si="5"/>
        <v>427000</v>
      </c>
      <c r="P35" s="180"/>
      <c r="Q35" s="181"/>
    </row>
    <row r="36" spans="2:17" ht="15" customHeight="1" x14ac:dyDescent="0.35">
      <c r="B36" s="2">
        <v>24251</v>
      </c>
      <c r="C36" s="132" t="s">
        <v>259</v>
      </c>
      <c r="D36" s="79">
        <v>15</v>
      </c>
      <c r="E36" s="79">
        <v>23</v>
      </c>
      <c r="F36" s="79"/>
      <c r="G36" s="85">
        <f t="shared" si="6"/>
        <v>4216860</v>
      </c>
      <c r="H36" s="85">
        <f t="shared" si="7"/>
        <v>3281778</v>
      </c>
      <c r="I36" s="85">
        <f t="shared" si="2"/>
        <v>7498638</v>
      </c>
      <c r="J36" s="85">
        <f>(VLOOKUP(C36,Kapitaltilskudd!$A$3:$C$41,3,FALSE)*(D36+E36+F36))</f>
        <v>490200</v>
      </c>
      <c r="K36" s="182">
        <f t="shared" si="3"/>
        <v>7988838</v>
      </c>
      <c r="L36" s="85">
        <f t="shared" si="4"/>
        <v>1997000</v>
      </c>
      <c r="M36" s="148">
        <f t="shared" si="5"/>
        <v>665000</v>
      </c>
      <c r="P36" s="180"/>
      <c r="Q36" s="181"/>
    </row>
    <row r="37" spans="2:17" ht="15" customHeight="1" x14ac:dyDescent="0.35">
      <c r="B37" s="2">
        <v>24255</v>
      </c>
      <c r="C37" s="132" t="s">
        <v>260</v>
      </c>
      <c r="D37" s="79">
        <v>16</v>
      </c>
      <c r="E37" s="79">
        <v>36</v>
      </c>
      <c r="F37" s="79"/>
      <c r="G37" s="85">
        <f t="shared" si="6"/>
        <v>4497984</v>
      </c>
      <c r="H37" s="85">
        <f t="shared" si="7"/>
        <v>5136696</v>
      </c>
      <c r="I37" s="85">
        <f t="shared" si="2"/>
        <v>9634680</v>
      </c>
      <c r="J37" s="85">
        <f>(VLOOKUP(C37,Kapitaltilskudd!$A$3:$C$41,3,FALSE)*(D37+E37+F37))</f>
        <v>670800</v>
      </c>
      <c r="K37" s="182">
        <f t="shared" si="3"/>
        <v>10305480</v>
      </c>
      <c r="L37" s="85">
        <f t="shared" si="4"/>
        <v>2576000</v>
      </c>
      <c r="M37" s="148">
        <f t="shared" si="5"/>
        <v>858000</v>
      </c>
      <c r="P37" s="180"/>
      <c r="Q37" s="181"/>
    </row>
    <row r="38" spans="2:17" ht="15" customHeight="1" x14ac:dyDescent="0.35">
      <c r="B38" s="2">
        <v>24256</v>
      </c>
      <c r="C38" s="132" t="s">
        <v>261</v>
      </c>
      <c r="D38" s="79">
        <v>60</v>
      </c>
      <c r="E38" s="79">
        <v>95</v>
      </c>
      <c r="F38" s="79"/>
      <c r="G38" s="85">
        <f t="shared" si="6"/>
        <v>16867440</v>
      </c>
      <c r="H38" s="85">
        <f t="shared" si="7"/>
        <v>13555170</v>
      </c>
      <c r="I38" s="85">
        <f t="shared" si="2"/>
        <v>30422610</v>
      </c>
      <c r="J38" s="85">
        <f>(VLOOKUP(C38,Kapitaltilskudd!$A$3:$C$41,3,FALSE)*(D38+E38+F38))</f>
        <v>1999500</v>
      </c>
      <c r="K38" s="182">
        <f t="shared" si="3"/>
        <v>32422110</v>
      </c>
      <c r="L38" s="85">
        <f t="shared" si="4"/>
        <v>8106000</v>
      </c>
      <c r="M38" s="148">
        <f t="shared" si="5"/>
        <v>2701000</v>
      </c>
      <c r="P38" s="180"/>
      <c r="Q38" s="181"/>
    </row>
    <row r="39" spans="2:17" ht="15" customHeight="1" x14ac:dyDescent="0.35">
      <c r="B39" s="2">
        <v>24257</v>
      </c>
      <c r="C39" s="132" t="s">
        <v>262</v>
      </c>
      <c r="D39" s="79">
        <v>20</v>
      </c>
      <c r="E39" s="79">
        <v>38.466666666666669</v>
      </c>
      <c r="F39" s="79"/>
      <c r="G39" s="85">
        <f t="shared" si="6"/>
        <v>5622480</v>
      </c>
      <c r="H39" s="85">
        <f t="shared" si="7"/>
        <v>5488654.7999999998</v>
      </c>
      <c r="I39" s="85">
        <f t="shared" si="2"/>
        <v>11111134.800000001</v>
      </c>
      <c r="J39" s="85">
        <f>(VLOOKUP(C39,Kapitaltilskudd!$A$3:$C$41,3,FALSE)*(D39+E39+F39))</f>
        <v>754220</v>
      </c>
      <c r="K39" s="182">
        <f t="shared" si="3"/>
        <v>11865354.800000001</v>
      </c>
      <c r="L39" s="85">
        <f t="shared" si="4"/>
        <v>2966000</v>
      </c>
      <c r="M39" s="148">
        <f t="shared" si="5"/>
        <v>988000</v>
      </c>
      <c r="P39" s="180"/>
      <c r="Q39" s="181"/>
    </row>
    <row r="40" spans="2:17" ht="15" customHeight="1" x14ac:dyDescent="0.35">
      <c r="B40" s="2">
        <v>24258</v>
      </c>
      <c r="C40" s="133" t="s">
        <v>263</v>
      </c>
      <c r="D40" s="79">
        <v>34</v>
      </c>
      <c r="E40" s="79">
        <v>58</v>
      </c>
      <c r="F40" s="79"/>
      <c r="G40" s="85">
        <f t="shared" si="6"/>
        <v>9558216</v>
      </c>
      <c r="H40" s="85">
        <f t="shared" si="7"/>
        <v>8275788</v>
      </c>
      <c r="I40" s="85">
        <f t="shared" si="2"/>
        <v>17834004</v>
      </c>
      <c r="J40" s="85">
        <f>(VLOOKUP(C40,Kapitaltilskudd!$A$3:$C$41,3,FALSE)*(D40+E40+F40))</f>
        <v>1186800</v>
      </c>
      <c r="K40" s="182">
        <f t="shared" si="3"/>
        <v>19020804</v>
      </c>
      <c r="L40" s="85">
        <f t="shared" si="4"/>
        <v>4755000</v>
      </c>
      <c r="M40" s="148">
        <f t="shared" si="5"/>
        <v>1585000</v>
      </c>
      <c r="P40" s="180"/>
      <c r="Q40" s="181"/>
    </row>
    <row r="41" spans="2:17" ht="15" customHeight="1" x14ac:dyDescent="0.35">
      <c r="B41" s="2">
        <v>24259</v>
      </c>
      <c r="C41" s="133" t="s">
        <v>161</v>
      </c>
      <c r="D41" s="79">
        <v>26</v>
      </c>
      <c r="E41" s="79">
        <v>42.822222222222223</v>
      </c>
      <c r="F41" s="163"/>
      <c r="G41" s="85">
        <f t="shared" si="6"/>
        <v>7309224</v>
      </c>
      <c r="H41" s="85">
        <f t="shared" si="7"/>
        <v>6110131.5999999996</v>
      </c>
      <c r="I41" s="85">
        <f t="shared" si="2"/>
        <v>13419355.6</v>
      </c>
      <c r="J41" s="113">
        <f>(VLOOKUP(C41,Kapitaltilskudd!$A$3:$C$41,3,FALSE)*(D41+E41+F41))+706000</f>
        <v>1593806.6666666665</v>
      </c>
      <c r="K41" s="182">
        <f t="shared" si="3"/>
        <v>15013162.266666666</v>
      </c>
      <c r="L41" s="85">
        <f t="shared" si="4"/>
        <v>3753000</v>
      </c>
      <c r="M41" s="148">
        <f t="shared" si="5"/>
        <v>1251000</v>
      </c>
      <c r="P41" s="180"/>
      <c r="Q41" s="181"/>
    </row>
    <row r="42" spans="2:17" ht="15" customHeight="1" x14ac:dyDescent="0.35">
      <c r="B42" s="2">
        <v>24261</v>
      </c>
      <c r="C42" s="137" t="s">
        <v>278</v>
      </c>
      <c r="D42" s="79">
        <v>9</v>
      </c>
      <c r="E42" s="79">
        <v>12</v>
      </c>
      <c r="F42" s="79"/>
      <c r="G42" s="85">
        <f t="shared" si="6"/>
        <v>2530116</v>
      </c>
      <c r="H42" s="85">
        <f t="shared" si="7"/>
        <v>1712232</v>
      </c>
      <c r="I42" s="85">
        <f t="shared" si="2"/>
        <v>4242348</v>
      </c>
      <c r="J42" s="85">
        <f>(VLOOKUP(C42,Kapitaltilskudd!$A$3:$C$41,3,FALSE)*(D42+E42+F42))</f>
        <v>270900</v>
      </c>
      <c r="K42" s="182">
        <f t="shared" si="3"/>
        <v>4513248</v>
      </c>
      <c r="L42" s="85">
        <f t="shared" si="4"/>
        <v>1128000</v>
      </c>
      <c r="M42" s="148">
        <f t="shared" si="5"/>
        <v>376000</v>
      </c>
      <c r="P42" s="180"/>
      <c r="Q42" s="181"/>
    </row>
    <row r="43" spans="2:17" ht="15" customHeight="1" x14ac:dyDescent="0.35">
      <c r="B43" s="2">
        <v>24262</v>
      </c>
      <c r="C43" s="133" t="s">
        <v>162</v>
      </c>
      <c r="D43" s="79">
        <v>21</v>
      </c>
      <c r="E43" s="79">
        <v>30</v>
      </c>
      <c r="F43" s="79"/>
      <c r="G43" s="85">
        <f t="shared" si="6"/>
        <v>5903604</v>
      </c>
      <c r="H43" s="85">
        <f t="shared" si="7"/>
        <v>4280580</v>
      </c>
      <c r="I43" s="85">
        <f t="shared" si="2"/>
        <v>10184184</v>
      </c>
      <c r="J43" s="85">
        <f>(VLOOKUP(C43,Kapitaltilskudd!$A$3:$C$41,3,FALSE)*(D43+E43+F43))</f>
        <v>657900</v>
      </c>
      <c r="K43" s="182">
        <f t="shared" si="3"/>
        <v>10842084</v>
      </c>
      <c r="L43" s="85">
        <f t="shared" si="4"/>
        <v>2711000</v>
      </c>
      <c r="M43" s="148">
        <f t="shared" si="5"/>
        <v>903000</v>
      </c>
      <c r="P43" s="180"/>
      <c r="Q43" s="181"/>
    </row>
    <row r="44" spans="2:17" ht="15" customHeight="1" x14ac:dyDescent="0.35">
      <c r="B44" s="2">
        <v>24263</v>
      </c>
      <c r="C44" s="133" t="s">
        <v>160</v>
      </c>
      <c r="D44" s="79">
        <v>20</v>
      </c>
      <c r="E44" s="79">
        <v>29.822222222222223</v>
      </c>
      <c r="F44" s="79"/>
      <c r="G44" s="85">
        <f t="shared" si="6"/>
        <v>5622480</v>
      </c>
      <c r="H44" s="85">
        <f t="shared" si="7"/>
        <v>4255213.5999999996</v>
      </c>
      <c r="I44" s="85">
        <f t="shared" si="2"/>
        <v>9877693.5999999996</v>
      </c>
      <c r="J44" s="85">
        <f>(VLOOKUP(C44,Kapitaltilskudd!$A$3:$C$41,3,FALSE)*(D44+E44+F44))</f>
        <v>642706.66666666663</v>
      </c>
      <c r="K44" s="182">
        <f t="shared" si="3"/>
        <v>10520400.266666666</v>
      </c>
      <c r="L44" s="85">
        <f t="shared" si="4"/>
        <v>2630000</v>
      </c>
      <c r="M44" s="148">
        <f t="shared" si="5"/>
        <v>876000</v>
      </c>
      <c r="P44" s="180"/>
      <c r="Q44" s="181"/>
    </row>
    <row r="45" spans="2:17" ht="15" customHeight="1" x14ac:dyDescent="0.35">
      <c r="B45" s="2">
        <v>24278</v>
      </c>
      <c r="C45" s="196" t="s">
        <v>437</v>
      </c>
      <c r="D45" s="79"/>
      <c r="E45" s="79"/>
      <c r="F45" s="79"/>
      <c r="G45" s="85">
        <f t="shared" si="6"/>
        <v>0</v>
      </c>
      <c r="H45" s="85">
        <f t="shared" si="7"/>
        <v>0</v>
      </c>
      <c r="I45" s="85">
        <f t="shared" ref="I45" si="8">G45+H45</f>
        <v>0</v>
      </c>
      <c r="J45" s="85">
        <f>(VLOOKUP(C45,Kapitaltilskudd!$A$3:$C$41,3,FALSE)*(D45+E45+F45))</f>
        <v>0</v>
      </c>
      <c r="K45" s="182">
        <f t="shared" ref="K45" si="9">I45+J45</f>
        <v>0</v>
      </c>
      <c r="L45" s="85">
        <f t="shared" si="4"/>
        <v>0</v>
      </c>
      <c r="M45" s="148">
        <f t="shared" ref="M45" si="10">ROUNDDOWN((K45-L45)/9,-3)</f>
        <v>0</v>
      </c>
      <c r="P45" s="180"/>
      <c r="Q45" s="181"/>
    </row>
    <row r="46" spans="2:17" ht="15" customHeight="1" x14ac:dyDescent="0.35">
      <c r="C46" s="198" t="s">
        <v>445</v>
      </c>
      <c r="D46" s="209">
        <v>17</v>
      </c>
      <c r="E46" s="209">
        <v>12</v>
      </c>
      <c r="F46" s="79"/>
      <c r="G46" s="85">
        <f>D46*$G$7</f>
        <v>4779108</v>
      </c>
      <c r="H46" s="85">
        <f t="shared" si="7"/>
        <v>1712232</v>
      </c>
      <c r="I46" s="85">
        <f t="shared" si="2"/>
        <v>6491340</v>
      </c>
      <c r="J46" s="85">
        <f>(D46+E46)*Kapitaltilskudd!$F$7</f>
        <v>374100</v>
      </c>
      <c r="K46" s="182">
        <f t="shared" si="3"/>
        <v>6865440</v>
      </c>
      <c r="L46" s="85">
        <f t="shared" si="4"/>
        <v>1716000</v>
      </c>
      <c r="M46" s="148">
        <f t="shared" si="5"/>
        <v>572000</v>
      </c>
      <c r="Q46" s="181"/>
    </row>
    <row r="47" spans="2:17" ht="15" customHeight="1" x14ac:dyDescent="0.3">
      <c r="C47" s="56" t="s">
        <v>166</v>
      </c>
      <c r="D47" s="57">
        <f>SUM(D8:D46)-D20</f>
        <v>700</v>
      </c>
      <c r="E47" s="57">
        <f>SUM(E8:E46)-E20</f>
        <v>1260.9333333333334</v>
      </c>
      <c r="F47" s="57">
        <f>SUM(F8:F46)-F20</f>
        <v>0</v>
      </c>
      <c r="G47" s="58">
        <f t="shared" ref="G47:M47" si="11">SUM(G8:G46)</f>
        <v>196786800</v>
      </c>
      <c r="H47" s="58">
        <f t="shared" si="11"/>
        <v>180989533.59999999</v>
      </c>
      <c r="I47" s="58">
        <f t="shared" si="11"/>
        <v>377776333.60000008</v>
      </c>
      <c r="J47" s="58">
        <f t="shared" si="11"/>
        <v>26002040.000000004</v>
      </c>
      <c r="K47" s="183">
        <f>SUM(K8:K46)</f>
        <v>403778373.59999996</v>
      </c>
      <c r="L47" s="58">
        <f t="shared" si="11"/>
        <v>100943000</v>
      </c>
      <c r="M47" s="58">
        <f t="shared" si="11"/>
        <v>33629000</v>
      </c>
    </row>
    <row r="48" spans="2:17" ht="15" customHeight="1" x14ac:dyDescent="0.25">
      <c r="D48" s="151"/>
      <c r="E48" s="151"/>
    </row>
  </sheetData>
  <sheetProtection algorithmName="SHA-512" hashValue="8NHDeC14yBFrr+Q2V74WI7jjfwhsNrZTXNhVD4GIQVbiK5i0pipxpLqqfehZAI90WY58/tqei+5I2aUSYPWFKg==" saltValue="xZ/Juy13Tv5qcU0SpTApRg==" spinCount="100000" sheet="1" objects="1" scenarios="1"/>
  <autoFilter ref="A7:M47" xr:uid="{00000000-0009-0000-0000-000006000000}"/>
  <phoneticPr fontId="53" type="noConversion"/>
  <pageMargins left="0.25" right="0.25" top="0.75" bottom="0.75" header="0.3" footer="0.3"/>
  <pageSetup paperSize="9" scale="67" orientation="landscape" r:id="rId1"/>
  <headerFooter>
    <oddFooter>&amp;F</oddFooter>
  </headerFooter>
  <rowBreaks count="1" manualBreakCount="1">
    <brk id="4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48B2-95D8-4B04-827D-DDAEB3A207C4}">
  <sheetPr codeName="Ark3" filterMode="1">
    <tabColor theme="8" tint="0.79998168889431442"/>
  </sheetPr>
  <dimension ref="A1:S1995"/>
  <sheetViews>
    <sheetView zoomScale="80" zoomScaleNormal="80" workbookViewId="0"/>
  </sheetViews>
  <sheetFormatPr baseColWidth="10" defaultRowHeight="12.5" x14ac:dyDescent="0.25"/>
  <cols>
    <col min="1" max="1" width="4" bestFit="1" customWidth="1"/>
    <col min="3" max="3" width="36.1796875" customWidth="1"/>
    <col min="4" max="4" width="10" customWidth="1"/>
    <col min="8" max="8" width="31.81640625" customWidth="1"/>
    <col min="10" max="10" width="15" bestFit="1" customWidth="1"/>
    <col min="13" max="13" width="16" bestFit="1" customWidth="1"/>
    <col min="14" max="14" width="16.7265625" bestFit="1" customWidth="1"/>
    <col min="15" max="15" width="15.81640625" customWidth="1"/>
    <col min="16" max="16" width="16.81640625" style="73" bestFit="1" customWidth="1"/>
    <col min="17" max="17" width="16" style="73" bestFit="1" customWidth="1"/>
    <col min="18" max="18" width="16.453125" customWidth="1"/>
    <col min="22" max="22" width="16" bestFit="1" customWidth="1"/>
  </cols>
  <sheetData>
    <row r="1" spans="1:19" x14ac:dyDescent="0.25">
      <c r="J1" s="78"/>
      <c r="N1" t="s">
        <v>271</v>
      </c>
      <c r="O1" s="129">
        <v>166441250.82999986</v>
      </c>
      <c r="P1" s="129">
        <f>M6-O1</f>
        <v>64574208.189999789</v>
      </c>
      <c r="Q1" s="130"/>
    </row>
    <row r="2" spans="1:19" x14ac:dyDescent="0.25">
      <c r="J2" s="78"/>
      <c r="N2" s="5" t="s">
        <v>321</v>
      </c>
      <c r="O2" s="129">
        <f>O1*10%</f>
        <v>16644125.082999988</v>
      </c>
      <c r="P2" s="129"/>
      <c r="Q2"/>
    </row>
    <row r="3" spans="1:19" x14ac:dyDescent="0.25">
      <c r="J3" s="78"/>
      <c r="N3" t="s">
        <v>322</v>
      </c>
      <c r="O3" s="129">
        <f>O2*14.1%</f>
        <v>2346821.6367029981</v>
      </c>
      <c r="P3" s="129"/>
      <c r="Q3" s="144"/>
    </row>
    <row r="4" spans="1:19" x14ac:dyDescent="0.25">
      <c r="N4" t="s">
        <v>272</v>
      </c>
      <c r="O4" s="129">
        <f>O2+O3</f>
        <v>18990946.719702985</v>
      </c>
      <c r="P4" s="129">
        <f>Q6-O4</f>
        <v>0</v>
      </c>
      <c r="Q4" s="139"/>
      <c r="S4" s="73"/>
    </row>
    <row r="6" spans="1:19" x14ac:dyDescent="0.25">
      <c r="M6" s="73">
        <f>SUBTOTAL(9,M8:M1123)</f>
        <v>231015459.01999965</v>
      </c>
      <c r="N6" s="73">
        <f>SUBTOTAL(9,N8:N1123)</f>
        <v>189281000</v>
      </c>
      <c r="O6" s="73">
        <f t="shared" ref="O6:Q6" si="0">SUBTOTAL(9,O8:O1123)</f>
        <v>41734459.020000026</v>
      </c>
      <c r="P6" s="73">
        <f t="shared" si="0"/>
        <v>-37121747.240000017</v>
      </c>
      <c r="Q6" s="73">
        <f t="shared" si="0"/>
        <v>18990946.71970297</v>
      </c>
      <c r="R6" s="144">
        <f>P6+Q6</f>
        <v>-18130800.520297047</v>
      </c>
    </row>
    <row r="7" spans="1:19" ht="14.5" x14ac:dyDescent="0.35">
      <c r="A7" t="s">
        <v>214</v>
      </c>
      <c r="B7" s="122" t="s">
        <v>215</v>
      </c>
      <c r="C7" s="123" t="s">
        <v>279</v>
      </c>
      <c r="D7" s="123" t="s">
        <v>280</v>
      </c>
      <c r="E7" s="122" t="s">
        <v>216</v>
      </c>
      <c r="F7" s="123" t="s">
        <v>148</v>
      </c>
      <c r="G7" s="122" t="s">
        <v>217</v>
      </c>
      <c r="H7" s="123" t="s">
        <v>281</v>
      </c>
      <c r="I7" s="122" t="s">
        <v>218</v>
      </c>
      <c r="J7" s="122" t="s">
        <v>219</v>
      </c>
      <c r="K7" s="122" t="s">
        <v>220</v>
      </c>
      <c r="L7" s="122" t="s">
        <v>282</v>
      </c>
      <c r="M7" s="122" t="s">
        <v>221</v>
      </c>
      <c r="N7" s="122" t="s">
        <v>222</v>
      </c>
      <c r="O7" s="117" t="s">
        <v>45</v>
      </c>
      <c r="P7" s="126" t="s">
        <v>120</v>
      </c>
      <c r="Q7" s="165">
        <v>0.1</v>
      </c>
    </row>
    <row r="8" spans="1:19" ht="14.5" x14ac:dyDescent="0.35">
      <c r="A8" s="184" t="s">
        <v>155</v>
      </c>
      <c r="B8" s="184" t="s">
        <v>338</v>
      </c>
      <c r="C8" s="184" t="s">
        <v>300</v>
      </c>
      <c r="D8" s="185" t="s">
        <v>299</v>
      </c>
      <c r="E8" s="185">
        <v>1586</v>
      </c>
      <c r="F8" s="185" t="s">
        <v>149</v>
      </c>
      <c r="G8" s="184">
        <v>105098</v>
      </c>
      <c r="H8" s="184" t="s">
        <v>314</v>
      </c>
      <c r="I8" s="184" t="s">
        <v>294</v>
      </c>
      <c r="J8" s="184" t="s">
        <v>339</v>
      </c>
      <c r="K8" s="184" t="s">
        <v>295</v>
      </c>
      <c r="L8" s="185">
        <v>1</v>
      </c>
      <c r="M8" s="186">
        <v>-318686</v>
      </c>
      <c r="N8" s="186">
        <v>0</v>
      </c>
      <c r="O8" s="125">
        <f t="shared" ref="O8:O71" si="1">M8-N8</f>
        <v>-318686</v>
      </c>
      <c r="P8" s="125"/>
      <c r="Q8" s="73">
        <f>M8*$Q$7*1.141</f>
        <v>-36362.0726</v>
      </c>
    </row>
    <row r="9" spans="1:19" ht="14.5" x14ac:dyDescent="0.35">
      <c r="A9" s="184" t="s">
        <v>155</v>
      </c>
      <c r="B9" s="184" t="s">
        <v>338</v>
      </c>
      <c r="C9" s="184" t="s">
        <v>300</v>
      </c>
      <c r="D9" s="185" t="s">
        <v>299</v>
      </c>
      <c r="E9" s="185">
        <v>1587</v>
      </c>
      <c r="F9" s="185" t="s">
        <v>149</v>
      </c>
      <c r="G9" s="184">
        <v>105099</v>
      </c>
      <c r="H9" s="184" t="s">
        <v>107</v>
      </c>
      <c r="I9" s="184" t="s">
        <v>294</v>
      </c>
      <c r="J9" s="184" t="s">
        <v>295</v>
      </c>
      <c r="K9" s="184" t="s">
        <v>295</v>
      </c>
      <c r="L9" s="185">
        <v>1</v>
      </c>
      <c r="M9" s="186">
        <v>3715</v>
      </c>
      <c r="N9" s="186">
        <v>0</v>
      </c>
      <c r="O9" s="125">
        <f t="shared" si="1"/>
        <v>3715</v>
      </c>
      <c r="P9" s="125"/>
      <c r="Q9" s="73">
        <f t="shared" ref="Q9:Q10" si="2">M9*$Q$7*1.141</f>
        <v>423.88150000000002</v>
      </c>
    </row>
    <row r="10" spans="1:19" ht="14.5" x14ac:dyDescent="0.35">
      <c r="A10" s="184" t="s">
        <v>155</v>
      </c>
      <c r="B10" s="184" t="s">
        <v>338</v>
      </c>
      <c r="C10" s="184" t="s">
        <v>300</v>
      </c>
      <c r="D10" s="185" t="s">
        <v>299</v>
      </c>
      <c r="E10" s="185">
        <v>1588</v>
      </c>
      <c r="F10" s="185" t="s">
        <v>149</v>
      </c>
      <c r="G10" s="184">
        <v>105099</v>
      </c>
      <c r="H10" s="184" t="s">
        <v>107</v>
      </c>
      <c r="I10" s="184" t="s">
        <v>294</v>
      </c>
      <c r="J10" s="184" t="s">
        <v>340</v>
      </c>
      <c r="K10" s="184" t="s">
        <v>295</v>
      </c>
      <c r="L10" s="185">
        <v>1</v>
      </c>
      <c r="M10" s="186">
        <v>315376.46999999997</v>
      </c>
      <c r="N10" s="186">
        <v>0</v>
      </c>
      <c r="O10" s="125">
        <f t="shared" si="1"/>
        <v>315376.46999999997</v>
      </c>
      <c r="P10" s="125"/>
      <c r="Q10" s="73">
        <f t="shared" si="2"/>
        <v>35984.455226999999</v>
      </c>
    </row>
    <row r="11" spans="1:19" ht="14.5" x14ac:dyDescent="0.35">
      <c r="A11" s="184" t="s">
        <v>155</v>
      </c>
      <c r="B11" s="184" t="s">
        <v>338</v>
      </c>
      <c r="C11" s="184" t="s">
        <v>300</v>
      </c>
      <c r="D11" s="185" t="s">
        <v>299</v>
      </c>
      <c r="E11" s="185">
        <v>1589</v>
      </c>
      <c r="F11" s="185" t="s">
        <v>149</v>
      </c>
      <c r="G11" s="189">
        <v>109010</v>
      </c>
      <c r="H11" s="184" t="s">
        <v>341</v>
      </c>
      <c r="I11" s="184" t="s">
        <v>294</v>
      </c>
      <c r="J11" s="184" t="s">
        <v>295</v>
      </c>
      <c r="K11" s="184" t="s">
        <v>295</v>
      </c>
      <c r="L11" s="185">
        <v>1</v>
      </c>
      <c r="M11" s="186">
        <v>262575</v>
      </c>
      <c r="N11" s="186">
        <v>0</v>
      </c>
      <c r="O11" s="125">
        <f t="shared" si="1"/>
        <v>262575</v>
      </c>
      <c r="P11" s="164"/>
    </row>
    <row r="12" spans="1:19" ht="14.5" x14ac:dyDescent="0.35">
      <c r="A12" s="184" t="s">
        <v>155</v>
      </c>
      <c r="B12" s="184" t="s">
        <v>338</v>
      </c>
      <c r="C12" s="184" t="s">
        <v>300</v>
      </c>
      <c r="D12" s="185" t="s">
        <v>299</v>
      </c>
      <c r="E12" s="185">
        <v>1590</v>
      </c>
      <c r="F12" s="185" t="s">
        <v>149</v>
      </c>
      <c r="G12" s="189">
        <v>109901</v>
      </c>
      <c r="H12" s="184" t="s">
        <v>106</v>
      </c>
      <c r="I12" s="184" t="s">
        <v>294</v>
      </c>
      <c r="J12" s="184" t="s">
        <v>295</v>
      </c>
      <c r="K12" s="184" t="s">
        <v>295</v>
      </c>
      <c r="L12" s="185">
        <v>1</v>
      </c>
      <c r="M12" s="186">
        <v>-9418.7099999999991</v>
      </c>
      <c r="N12" s="186">
        <v>0</v>
      </c>
      <c r="O12" s="125">
        <f t="shared" si="1"/>
        <v>-9418.7099999999991</v>
      </c>
      <c r="P12" s="164"/>
    </row>
    <row r="13" spans="1:19" ht="14.5" x14ac:dyDescent="0.35">
      <c r="A13" s="184" t="s">
        <v>155</v>
      </c>
      <c r="B13" s="184" t="s">
        <v>338</v>
      </c>
      <c r="C13" s="184" t="s">
        <v>300</v>
      </c>
      <c r="D13" s="185" t="s">
        <v>299</v>
      </c>
      <c r="E13" s="185">
        <v>1591</v>
      </c>
      <c r="F13" s="185" t="s">
        <v>149</v>
      </c>
      <c r="G13" s="189">
        <v>109901</v>
      </c>
      <c r="H13" s="184" t="s">
        <v>106</v>
      </c>
      <c r="I13" s="184" t="s">
        <v>294</v>
      </c>
      <c r="J13" s="184" t="s">
        <v>340</v>
      </c>
      <c r="K13" s="184" t="s">
        <v>295</v>
      </c>
      <c r="L13" s="185">
        <v>1</v>
      </c>
      <c r="M13" s="186">
        <v>44472.55</v>
      </c>
      <c r="N13" s="186">
        <v>0</v>
      </c>
      <c r="O13" s="125">
        <f t="shared" si="1"/>
        <v>44472.55</v>
      </c>
      <c r="P13" s="164"/>
    </row>
    <row r="14" spans="1:19" ht="14.5" x14ac:dyDescent="0.35">
      <c r="A14" s="184" t="s">
        <v>155</v>
      </c>
      <c r="B14" s="184" t="s">
        <v>338</v>
      </c>
      <c r="C14" s="184" t="s">
        <v>300</v>
      </c>
      <c r="D14" s="185" t="s">
        <v>299</v>
      </c>
      <c r="E14" s="185">
        <v>1612</v>
      </c>
      <c r="F14" s="185" t="s">
        <v>149</v>
      </c>
      <c r="G14" s="184">
        <v>105098</v>
      </c>
      <c r="H14" s="184" t="s">
        <v>314</v>
      </c>
      <c r="I14" s="184" t="s">
        <v>337</v>
      </c>
      <c r="J14" s="184" t="s">
        <v>339</v>
      </c>
      <c r="K14" s="184" t="s">
        <v>295</v>
      </c>
      <c r="L14" s="185">
        <v>1</v>
      </c>
      <c r="M14" s="186">
        <v>-796</v>
      </c>
      <c r="N14" s="186">
        <v>0</v>
      </c>
      <c r="O14" s="125">
        <f t="shared" si="1"/>
        <v>-796</v>
      </c>
      <c r="P14" s="125"/>
      <c r="Q14" s="73">
        <f t="shared" ref="Q14:Q15" si="3">M14*$Q$7*1.141</f>
        <v>-90.823600000000013</v>
      </c>
    </row>
    <row r="15" spans="1:19" ht="14.5" x14ac:dyDescent="0.35">
      <c r="A15" s="184" t="s">
        <v>155</v>
      </c>
      <c r="B15" s="184" t="s">
        <v>338</v>
      </c>
      <c r="C15" s="184" t="s">
        <v>300</v>
      </c>
      <c r="D15" s="185" t="s">
        <v>299</v>
      </c>
      <c r="E15" s="185">
        <v>1613</v>
      </c>
      <c r="F15" s="185" t="s">
        <v>149</v>
      </c>
      <c r="G15" s="184">
        <v>105099</v>
      </c>
      <c r="H15" s="184" t="s">
        <v>107</v>
      </c>
      <c r="I15" s="184" t="s">
        <v>337</v>
      </c>
      <c r="J15" s="184" t="s">
        <v>340</v>
      </c>
      <c r="K15" s="184" t="s">
        <v>295</v>
      </c>
      <c r="L15" s="185">
        <v>1</v>
      </c>
      <c r="M15" s="186">
        <v>788</v>
      </c>
      <c r="N15" s="186">
        <v>0</v>
      </c>
      <c r="O15" s="125">
        <f t="shared" si="1"/>
        <v>788</v>
      </c>
      <c r="P15" s="125"/>
      <c r="Q15" s="73">
        <f t="shared" si="3"/>
        <v>89.910800000000009</v>
      </c>
    </row>
    <row r="16" spans="1:19" ht="14.5" x14ac:dyDescent="0.35">
      <c r="A16" s="184" t="s">
        <v>155</v>
      </c>
      <c r="B16" s="184" t="s">
        <v>338</v>
      </c>
      <c r="C16" s="184" t="s">
        <v>300</v>
      </c>
      <c r="D16" s="185" t="s">
        <v>299</v>
      </c>
      <c r="E16" s="185">
        <v>1614</v>
      </c>
      <c r="F16" s="185" t="s">
        <v>149</v>
      </c>
      <c r="G16" s="189">
        <v>109010</v>
      </c>
      <c r="H16" s="184" t="s">
        <v>341</v>
      </c>
      <c r="I16" s="184" t="s">
        <v>337</v>
      </c>
      <c r="J16" s="184" t="s">
        <v>295</v>
      </c>
      <c r="K16" s="184" t="s">
        <v>295</v>
      </c>
      <c r="L16" s="185">
        <v>1</v>
      </c>
      <c r="M16" s="186">
        <v>656</v>
      </c>
      <c r="N16" s="186">
        <v>0</v>
      </c>
      <c r="O16" s="125">
        <f t="shared" si="1"/>
        <v>656</v>
      </c>
      <c r="P16" s="164"/>
    </row>
    <row r="17" spans="1:18" ht="14.5" x14ac:dyDescent="0.35">
      <c r="A17" s="184" t="s">
        <v>155</v>
      </c>
      <c r="B17" s="184" t="s">
        <v>338</v>
      </c>
      <c r="C17" s="184" t="s">
        <v>300</v>
      </c>
      <c r="D17" s="185" t="s">
        <v>299</v>
      </c>
      <c r="E17" s="185">
        <v>1615</v>
      </c>
      <c r="F17" s="185" t="s">
        <v>149</v>
      </c>
      <c r="G17" s="189">
        <v>109901</v>
      </c>
      <c r="H17" s="184" t="s">
        <v>106</v>
      </c>
      <c r="I17" s="184" t="s">
        <v>337</v>
      </c>
      <c r="J17" s="184" t="s">
        <v>340</v>
      </c>
      <c r="K17" s="184" t="s">
        <v>295</v>
      </c>
      <c r="L17" s="185">
        <v>1</v>
      </c>
      <c r="M17" s="186">
        <v>111.12</v>
      </c>
      <c r="N17" s="186">
        <v>0</v>
      </c>
      <c r="O17" s="125">
        <f t="shared" si="1"/>
        <v>111.12</v>
      </c>
      <c r="P17" s="125"/>
    </row>
    <row r="18" spans="1:18" ht="14.5" hidden="1" x14ac:dyDescent="0.35">
      <c r="A18" s="184" t="s">
        <v>155</v>
      </c>
      <c r="B18" s="188" t="s">
        <v>342</v>
      </c>
      <c r="C18" s="184" t="s">
        <v>316</v>
      </c>
      <c r="D18" s="185" t="s">
        <v>299</v>
      </c>
      <c r="E18" s="185">
        <v>1897</v>
      </c>
      <c r="F18" s="185" t="s">
        <v>149</v>
      </c>
      <c r="G18" s="184">
        <v>101039</v>
      </c>
      <c r="H18" s="184" t="s">
        <v>111</v>
      </c>
      <c r="I18" s="184" t="s">
        <v>294</v>
      </c>
      <c r="J18" s="184" t="s">
        <v>295</v>
      </c>
      <c r="K18" s="184" t="s">
        <v>295</v>
      </c>
      <c r="L18" s="185">
        <v>1</v>
      </c>
      <c r="M18" s="186">
        <v>218936.67</v>
      </c>
      <c r="N18" s="186">
        <v>0</v>
      </c>
      <c r="O18" s="125">
        <f t="shared" si="1"/>
        <v>218936.67</v>
      </c>
      <c r="P18" s="125"/>
      <c r="Q18" s="73">
        <f t="shared" ref="Q18" si="4">M18*$Q$7*1.141</f>
        <v>24980.674047</v>
      </c>
    </row>
    <row r="19" spans="1:18" ht="14.5" hidden="1" x14ac:dyDescent="0.35">
      <c r="A19" s="184" t="s">
        <v>155</v>
      </c>
      <c r="B19" s="188" t="s">
        <v>342</v>
      </c>
      <c r="C19" s="184" t="s">
        <v>316</v>
      </c>
      <c r="D19" s="185" t="s">
        <v>299</v>
      </c>
      <c r="E19" s="185">
        <v>1898</v>
      </c>
      <c r="F19" s="185" t="s">
        <v>149</v>
      </c>
      <c r="G19" s="189">
        <v>109901</v>
      </c>
      <c r="H19" s="184" t="s">
        <v>106</v>
      </c>
      <c r="I19" s="184" t="s">
        <v>294</v>
      </c>
      <c r="J19" s="184" t="s">
        <v>295</v>
      </c>
      <c r="K19" s="184" t="s">
        <v>295</v>
      </c>
      <c r="L19" s="185">
        <v>1</v>
      </c>
      <c r="M19" s="186">
        <v>30870.07</v>
      </c>
      <c r="N19" s="186">
        <v>0</v>
      </c>
      <c r="O19" s="125">
        <f t="shared" si="1"/>
        <v>30870.07</v>
      </c>
      <c r="P19" s="164"/>
    </row>
    <row r="20" spans="1:18" ht="14.5" x14ac:dyDescent="0.35">
      <c r="A20" s="184" t="s">
        <v>155</v>
      </c>
      <c r="B20" s="184" t="s">
        <v>343</v>
      </c>
      <c r="C20" s="184" t="s">
        <v>223</v>
      </c>
      <c r="D20" s="185" t="s">
        <v>283</v>
      </c>
      <c r="E20" s="185">
        <v>2633</v>
      </c>
      <c r="F20" s="185" t="s">
        <v>149</v>
      </c>
      <c r="G20" s="184">
        <v>102055</v>
      </c>
      <c r="H20" s="184" t="s">
        <v>344</v>
      </c>
      <c r="I20" s="184" t="s">
        <v>294</v>
      </c>
      <c r="J20" s="184" t="s">
        <v>295</v>
      </c>
      <c r="K20" s="184" t="s">
        <v>295</v>
      </c>
      <c r="L20" s="185">
        <v>1</v>
      </c>
      <c r="M20" s="186">
        <v>31118</v>
      </c>
      <c r="N20" s="186">
        <v>0</v>
      </c>
      <c r="O20" s="125">
        <f t="shared" si="1"/>
        <v>31118</v>
      </c>
      <c r="P20" s="125"/>
      <c r="Q20" s="73">
        <f>M20*$Q$7*1.141</f>
        <v>3550.5638000000004</v>
      </c>
    </row>
    <row r="21" spans="1:18" ht="14.5" x14ac:dyDescent="0.35">
      <c r="A21" s="184" t="s">
        <v>155</v>
      </c>
      <c r="B21" s="184" t="s">
        <v>343</v>
      </c>
      <c r="C21" s="184" t="s">
        <v>223</v>
      </c>
      <c r="D21" s="185" t="s">
        <v>283</v>
      </c>
      <c r="E21" s="185">
        <v>2634</v>
      </c>
      <c r="F21" s="185" t="s">
        <v>149</v>
      </c>
      <c r="G21" s="189">
        <v>109055</v>
      </c>
      <c r="H21" s="184" t="s">
        <v>345</v>
      </c>
      <c r="I21" s="184" t="s">
        <v>294</v>
      </c>
      <c r="J21" s="184" t="s">
        <v>295</v>
      </c>
      <c r="K21" s="184" t="s">
        <v>295</v>
      </c>
      <c r="L21" s="185">
        <v>1</v>
      </c>
      <c r="M21" s="186">
        <v>-10850</v>
      </c>
      <c r="N21" s="186">
        <v>0</v>
      </c>
      <c r="O21" s="125">
        <f t="shared" si="1"/>
        <v>-10850</v>
      </c>
      <c r="P21" s="164">
        <f>M21*-1</f>
        <v>10850</v>
      </c>
      <c r="Q21" s="150"/>
      <c r="R21" s="144"/>
    </row>
    <row r="22" spans="1:18" ht="14.5" x14ac:dyDescent="0.35">
      <c r="A22" s="184" t="s">
        <v>155</v>
      </c>
      <c r="B22" s="184" t="s">
        <v>343</v>
      </c>
      <c r="C22" s="184" t="s">
        <v>223</v>
      </c>
      <c r="D22" s="185" t="s">
        <v>283</v>
      </c>
      <c r="E22" s="185">
        <v>2635</v>
      </c>
      <c r="F22" s="185" t="s">
        <v>149</v>
      </c>
      <c r="G22" s="189">
        <v>109955</v>
      </c>
      <c r="H22" s="184" t="s">
        <v>346</v>
      </c>
      <c r="I22" s="184" t="s">
        <v>294</v>
      </c>
      <c r="J22" s="184" t="s">
        <v>295</v>
      </c>
      <c r="K22" s="184" t="s">
        <v>295</v>
      </c>
      <c r="L22" s="185">
        <v>1</v>
      </c>
      <c r="M22" s="186">
        <v>2858</v>
      </c>
      <c r="N22" s="186">
        <v>0</v>
      </c>
      <c r="O22" s="125">
        <f t="shared" si="1"/>
        <v>2858</v>
      </c>
      <c r="P22" s="149"/>
      <c r="R22" s="144"/>
    </row>
    <row r="23" spans="1:18" ht="14.5" x14ac:dyDescent="0.35">
      <c r="A23" s="184" t="s">
        <v>155</v>
      </c>
      <c r="B23" s="184" t="s">
        <v>376</v>
      </c>
      <c r="C23" s="184" t="s">
        <v>284</v>
      </c>
      <c r="D23" s="185" t="s">
        <v>285</v>
      </c>
      <c r="E23" s="185">
        <v>7079</v>
      </c>
      <c r="F23" s="185" t="s">
        <v>149</v>
      </c>
      <c r="G23" s="184">
        <v>105099</v>
      </c>
      <c r="H23" s="184" t="s">
        <v>107</v>
      </c>
      <c r="I23" s="184" t="s">
        <v>294</v>
      </c>
      <c r="J23" s="184" t="s">
        <v>340</v>
      </c>
      <c r="K23" s="184" t="s">
        <v>295</v>
      </c>
      <c r="L23" s="185">
        <v>1</v>
      </c>
      <c r="M23" s="186">
        <v>0</v>
      </c>
      <c r="N23" s="186">
        <v>0</v>
      </c>
      <c r="O23" s="125">
        <f t="shared" si="1"/>
        <v>0</v>
      </c>
      <c r="P23" s="125"/>
      <c r="Q23" s="73">
        <f>M23*$Q$7*1.141</f>
        <v>0</v>
      </c>
    </row>
    <row r="24" spans="1:18" ht="14.5" x14ac:dyDescent="0.35">
      <c r="A24" s="184" t="s">
        <v>155</v>
      </c>
      <c r="B24" s="184" t="s">
        <v>376</v>
      </c>
      <c r="C24" s="184" t="s">
        <v>284</v>
      </c>
      <c r="D24" s="185" t="s">
        <v>285</v>
      </c>
      <c r="E24" s="185">
        <v>7080</v>
      </c>
      <c r="F24" s="185" t="s">
        <v>149</v>
      </c>
      <c r="G24" s="189">
        <v>109901</v>
      </c>
      <c r="H24" s="184" t="s">
        <v>106</v>
      </c>
      <c r="I24" s="184" t="s">
        <v>294</v>
      </c>
      <c r="J24" s="184" t="s">
        <v>340</v>
      </c>
      <c r="K24" s="184" t="s">
        <v>295</v>
      </c>
      <c r="L24" s="185">
        <v>1</v>
      </c>
      <c r="M24" s="186">
        <v>0</v>
      </c>
      <c r="N24" s="186">
        <v>0</v>
      </c>
      <c r="O24" s="125">
        <f t="shared" si="1"/>
        <v>0</v>
      </c>
      <c r="P24" s="125"/>
    </row>
    <row r="25" spans="1:18" ht="14.5" x14ac:dyDescent="0.35">
      <c r="A25" s="184" t="s">
        <v>155</v>
      </c>
      <c r="B25" s="184" t="s">
        <v>377</v>
      </c>
      <c r="C25" s="184" t="s">
        <v>151</v>
      </c>
      <c r="D25" s="185" t="s">
        <v>286</v>
      </c>
      <c r="E25" s="185">
        <v>7108</v>
      </c>
      <c r="F25" s="185" t="s">
        <v>149</v>
      </c>
      <c r="G25" s="189">
        <v>109001</v>
      </c>
      <c r="H25" s="184" t="s">
        <v>105</v>
      </c>
      <c r="I25" s="184" t="s">
        <v>294</v>
      </c>
      <c r="J25" s="184" t="s">
        <v>295</v>
      </c>
      <c r="K25" s="184" t="s">
        <v>295</v>
      </c>
      <c r="L25" s="185">
        <v>1</v>
      </c>
      <c r="M25" s="186">
        <v>20282123.57</v>
      </c>
      <c r="N25" s="186">
        <v>0</v>
      </c>
      <c r="O25" s="125">
        <f t="shared" si="1"/>
        <v>20282123.57</v>
      </c>
      <c r="P25" s="164">
        <f>M25*-1</f>
        <v>-20282123.57</v>
      </c>
    </row>
    <row r="26" spans="1:18" ht="14.5" x14ac:dyDescent="0.35">
      <c r="A26" s="184" t="s">
        <v>155</v>
      </c>
      <c r="B26" s="184" t="s">
        <v>377</v>
      </c>
      <c r="C26" s="184" t="s">
        <v>151</v>
      </c>
      <c r="D26" s="185" t="s">
        <v>286</v>
      </c>
      <c r="E26" s="185">
        <v>7109</v>
      </c>
      <c r="F26" s="185" t="s">
        <v>149</v>
      </c>
      <c r="G26" s="189">
        <v>109901</v>
      </c>
      <c r="H26" s="184" t="s">
        <v>106</v>
      </c>
      <c r="I26" s="184" t="s">
        <v>294</v>
      </c>
      <c r="J26" s="184" t="s">
        <v>295</v>
      </c>
      <c r="K26" s="184" t="s">
        <v>295</v>
      </c>
      <c r="L26" s="185">
        <v>1</v>
      </c>
      <c r="M26" s="186">
        <v>2778312.58</v>
      </c>
      <c r="N26" s="186">
        <v>0</v>
      </c>
      <c r="O26" s="125">
        <f t="shared" si="1"/>
        <v>2778312.58</v>
      </c>
      <c r="P26" s="125"/>
    </row>
    <row r="27" spans="1:18" ht="14.5" x14ac:dyDescent="0.35">
      <c r="A27" s="184" t="s">
        <v>155</v>
      </c>
      <c r="B27" s="184" t="s">
        <v>377</v>
      </c>
      <c r="C27" s="184" t="s">
        <v>151</v>
      </c>
      <c r="D27" s="185" t="s">
        <v>286</v>
      </c>
      <c r="E27" s="185">
        <v>7118</v>
      </c>
      <c r="F27" s="185" t="s">
        <v>149</v>
      </c>
      <c r="G27" s="189">
        <v>109001</v>
      </c>
      <c r="H27" s="184" t="s">
        <v>105</v>
      </c>
      <c r="I27" s="184" t="s">
        <v>337</v>
      </c>
      <c r="J27" s="184" t="s">
        <v>295</v>
      </c>
      <c r="K27" s="184" t="s">
        <v>295</v>
      </c>
      <c r="L27" s="185">
        <v>1</v>
      </c>
      <c r="M27" s="186">
        <v>771549.5</v>
      </c>
      <c r="N27" s="186">
        <v>0</v>
      </c>
      <c r="O27" s="125">
        <f t="shared" si="1"/>
        <v>771549.5</v>
      </c>
      <c r="P27" s="164">
        <f>M27*-1</f>
        <v>-771549.5</v>
      </c>
      <c r="Q27" s="164"/>
    </row>
    <row r="28" spans="1:18" ht="14.5" x14ac:dyDescent="0.35">
      <c r="A28" s="184" t="s">
        <v>155</v>
      </c>
      <c r="B28" s="184" t="s">
        <v>377</v>
      </c>
      <c r="C28" s="184" t="s">
        <v>151</v>
      </c>
      <c r="D28" s="185" t="s">
        <v>286</v>
      </c>
      <c r="E28" s="185">
        <v>7119</v>
      </c>
      <c r="F28" s="185" t="s">
        <v>149</v>
      </c>
      <c r="G28" s="189">
        <v>109901</v>
      </c>
      <c r="H28" s="184" t="s">
        <v>106</v>
      </c>
      <c r="I28" s="184" t="s">
        <v>337</v>
      </c>
      <c r="J28" s="184" t="s">
        <v>295</v>
      </c>
      <c r="K28" s="184" t="s">
        <v>295</v>
      </c>
      <c r="L28" s="185">
        <v>1</v>
      </c>
      <c r="M28" s="186">
        <v>105689.39</v>
      </c>
      <c r="N28" s="186">
        <v>0</v>
      </c>
      <c r="O28" s="125">
        <f t="shared" si="1"/>
        <v>105689.39</v>
      </c>
      <c r="P28" s="164"/>
    </row>
    <row r="29" spans="1:18" ht="14.5" x14ac:dyDescent="0.35">
      <c r="A29" s="184" t="s">
        <v>155</v>
      </c>
      <c r="B29" s="184" t="s">
        <v>378</v>
      </c>
      <c r="C29" s="184" t="s">
        <v>379</v>
      </c>
      <c r="D29" s="185" t="s">
        <v>380</v>
      </c>
      <c r="E29" s="185">
        <v>7412</v>
      </c>
      <c r="F29" s="185" t="s">
        <v>149</v>
      </c>
      <c r="G29" s="184">
        <v>102055</v>
      </c>
      <c r="H29" s="184" t="s">
        <v>344</v>
      </c>
      <c r="I29" s="184" t="s">
        <v>294</v>
      </c>
      <c r="J29" s="184" t="s">
        <v>295</v>
      </c>
      <c r="K29" s="184" t="s">
        <v>295</v>
      </c>
      <c r="L29" s="185">
        <v>1</v>
      </c>
      <c r="M29" s="186">
        <v>595000</v>
      </c>
      <c r="N29" s="186">
        <v>595000</v>
      </c>
      <c r="O29" s="125">
        <f t="shared" si="1"/>
        <v>0</v>
      </c>
      <c r="P29" s="125"/>
      <c r="Q29" s="73">
        <f>M29*$Q$7*1.141</f>
        <v>67889.5</v>
      </c>
    </row>
    <row r="30" spans="1:18" ht="14.5" x14ac:dyDescent="0.35">
      <c r="A30" s="184" t="s">
        <v>155</v>
      </c>
      <c r="B30" s="184" t="s">
        <v>378</v>
      </c>
      <c r="C30" s="184" t="s">
        <v>379</v>
      </c>
      <c r="D30" s="185" t="s">
        <v>380</v>
      </c>
      <c r="E30" s="185">
        <v>7413</v>
      </c>
      <c r="F30" s="185" t="s">
        <v>149</v>
      </c>
      <c r="G30" s="189">
        <v>109055</v>
      </c>
      <c r="H30" s="184" t="s">
        <v>345</v>
      </c>
      <c r="I30" s="184" t="s">
        <v>294</v>
      </c>
      <c r="J30" s="184" t="s">
        <v>295</v>
      </c>
      <c r="K30" s="184" t="s">
        <v>295</v>
      </c>
      <c r="L30" s="185">
        <v>1</v>
      </c>
      <c r="M30" s="186">
        <v>60000</v>
      </c>
      <c r="N30" s="186">
        <v>60000</v>
      </c>
      <c r="O30" s="125">
        <f t="shared" si="1"/>
        <v>0</v>
      </c>
      <c r="P30" s="164">
        <f>M30*-1</f>
        <v>-60000</v>
      </c>
    </row>
    <row r="31" spans="1:18" ht="14.5" x14ac:dyDescent="0.35">
      <c r="A31" s="184" t="s">
        <v>155</v>
      </c>
      <c r="B31" s="184" t="s">
        <v>378</v>
      </c>
      <c r="C31" s="184" t="s">
        <v>379</v>
      </c>
      <c r="D31" s="185" t="s">
        <v>380</v>
      </c>
      <c r="E31" s="185">
        <v>7414</v>
      </c>
      <c r="F31" s="185" t="s">
        <v>149</v>
      </c>
      <c r="G31" s="189">
        <v>109955</v>
      </c>
      <c r="H31" s="184" t="s">
        <v>346</v>
      </c>
      <c r="I31" s="184" t="s">
        <v>294</v>
      </c>
      <c r="J31" s="184" t="s">
        <v>295</v>
      </c>
      <c r="K31" s="184" t="s">
        <v>295</v>
      </c>
      <c r="L31" s="185">
        <v>1</v>
      </c>
      <c r="M31" s="186">
        <v>95000</v>
      </c>
      <c r="N31" s="186">
        <v>95000</v>
      </c>
      <c r="O31" s="125">
        <f t="shared" si="1"/>
        <v>0</v>
      </c>
      <c r="P31" s="125"/>
    </row>
    <row r="32" spans="1:18" ht="14.5" x14ac:dyDescent="0.35">
      <c r="A32" s="184" t="s">
        <v>155</v>
      </c>
      <c r="B32" s="184" t="s">
        <v>381</v>
      </c>
      <c r="C32" s="184" t="s">
        <v>382</v>
      </c>
      <c r="D32" s="185" t="s">
        <v>287</v>
      </c>
      <c r="E32" s="185">
        <v>13866</v>
      </c>
      <c r="F32" s="185" t="s">
        <v>149</v>
      </c>
      <c r="G32" s="184">
        <v>102003</v>
      </c>
      <c r="H32" s="184" t="s">
        <v>110</v>
      </c>
      <c r="I32" s="184" t="s">
        <v>294</v>
      </c>
      <c r="J32" s="184" t="s">
        <v>295</v>
      </c>
      <c r="K32" s="184" t="s">
        <v>295</v>
      </c>
      <c r="L32" s="185">
        <v>1</v>
      </c>
      <c r="M32" s="186">
        <v>0</v>
      </c>
      <c r="N32" s="186">
        <v>0</v>
      </c>
      <c r="O32" s="125">
        <f t="shared" si="1"/>
        <v>0</v>
      </c>
      <c r="P32" s="125"/>
      <c r="Q32" s="73">
        <f t="shared" ref="Q32:Q33" si="5">M32*$Q$7*1.141</f>
        <v>0</v>
      </c>
    </row>
    <row r="33" spans="1:17" ht="14.5" x14ac:dyDescent="0.35">
      <c r="A33" s="184" t="s">
        <v>155</v>
      </c>
      <c r="B33" s="184" t="s">
        <v>381</v>
      </c>
      <c r="C33" s="184" t="s">
        <v>382</v>
      </c>
      <c r="D33" s="185" t="s">
        <v>287</v>
      </c>
      <c r="E33" s="185">
        <v>13867</v>
      </c>
      <c r="F33" s="185" t="s">
        <v>149</v>
      </c>
      <c r="G33" s="184">
        <v>104000</v>
      </c>
      <c r="H33" s="184" t="s">
        <v>114</v>
      </c>
      <c r="I33" s="184" t="s">
        <v>294</v>
      </c>
      <c r="J33" s="184" t="s">
        <v>349</v>
      </c>
      <c r="K33" s="184" t="s">
        <v>295</v>
      </c>
      <c r="L33" s="185">
        <v>1</v>
      </c>
      <c r="M33" s="186">
        <v>0</v>
      </c>
      <c r="N33" s="186">
        <v>0</v>
      </c>
      <c r="O33" s="125">
        <f t="shared" si="1"/>
        <v>0</v>
      </c>
      <c r="P33" s="125"/>
      <c r="Q33" s="73">
        <f t="shared" si="5"/>
        <v>0</v>
      </c>
    </row>
    <row r="34" spans="1:17" ht="14.5" x14ac:dyDescent="0.35">
      <c r="A34" s="184" t="s">
        <v>155</v>
      </c>
      <c r="B34" s="184" t="s">
        <v>381</v>
      </c>
      <c r="C34" s="184" t="s">
        <v>382</v>
      </c>
      <c r="D34" s="185" t="s">
        <v>287</v>
      </c>
      <c r="E34" s="185">
        <v>13868</v>
      </c>
      <c r="F34" s="185" t="s">
        <v>149</v>
      </c>
      <c r="G34" s="189">
        <v>109001</v>
      </c>
      <c r="H34" s="184" t="s">
        <v>105</v>
      </c>
      <c r="I34" s="184" t="s">
        <v>294</v>
      </c>
      <c r="J34" s="184" t="s">
        <v>295</v>
      </c>
      <c r="K34" s="184" t="s">
        <v>295</v>
      </c>
      <c r="L34" s="185">
        <v>1</v>
      </c>
      <c r="M34" s="186">
        <v>0</v>
      </c>
      <c r="N34" s="186">
        <v>0</v>
      </c>
      <c r="O34" s="125">
        <f t="shared" si="1"/>
        <v>0</v>
      </c>
      <c r="P34" s="164">
        <f t="shared" ref="P34:P35" si="6">M34*-1</f>
        <v>0</v>
      </c>
      <c r="Q34" s="164"/>
    </row>
    <row r="35" spans="1:17" ht="14.5" x14ac:dyDescent="0.35">
      <c r="A35" s="184" t="s">
        <v>155</v>
      </c>
      <c r="B35" s="184" t="s">
        <v>381</v>
      </c>
      <c r="C35" s="184" t="s">
        <v>382</v>
      </c>
      <c r="D35" s="185" t="s">
        <v>287</v>
      </c>
      <c r="E35" s="185">
        <v>13869</v>
      </c>
      <c r="F35" s="185" t="s">
        <v>149</v>
      </c>
      <c r="G35" s="189">
        <v>109001</v>
      </c>
      <c r="H35" s="184" t="s">
        <v>105</v>
      </c>
      <c r="I35" s="184" t="s">
        <v>294</v>
      </c>
      <c r="J35" s="184" t="s">
        <v>349</v>
      </c>
      <c r="K35" s="184" t="s">
        <v>295</v>
      </c>
      <c r="L35" s="185">
        <v>1</v>
      </c>
      <c r="M35" s="186">
        <v>0</v>
      </c>
      <c r="N35" s="186">
        <v>0</v>
      </c>
      <c r="O35" s="125">
        <f t="shared" si="1"/>
        <v>0</v>
      </c>
      <c r="P35" s="164">
        <f t="shared" si="6"/>
        <v>0</v>
      </c>
      <c r="Q35" s="164"/>
    </row>
    <row r="36" spans="1:17" ht="14.5" x14ac:dyDescent="0.35">
      <c r="A36" s="184" t="s">
        <v>155</v>
      </c>
      <c r="B36" s="184" t="s">
        <v>381</v>
      </c>
      <c r="C36" s="184" t="s">
        <v>382</v>
      </c>
      <c r="D36" s="185" t="s">
        <v>287</v>
      </c>
      <c r="E36" s="185">
        <v>13870</v>
      </c>
      <c r="F36" s="185" t="s">
        <v>149</v>
      </c>
      <c r="G36" s="189">
        <v>109901</v>
      </c>
      <c r="H36" s="184" t="s">
        <v>106</v>
      </c>
      <c r="I36" s="184" t="s">
        <v>294</v>
      </c>
      <c r="J36" s="184" t="s">
        <v>295</v>
      </c>
      <c r="K36" s="184" t="s">
        <v>295</v>
      </c>
      <c r="L36" s="185">
        <v>1</v>
      </c>
      <c r="M36" s="186">
        <v>0</v>
      </c>
      <c r="N36" s="186">
        <v>0</v>
      </c>
      <c r="O36" s="125">
        <f t="shared" si="1"/>
        <v>0</v>
      </c>
      <c r="P36" s="164"/>
    </row>
    <row r="37" spans="1:17" ht="14.5" x14ac:dyDescent="0.35">
      <c r="A37" s="184" t="s">
        <v>155</v>
      </c>
      <c r="B37" s="184" t="s">
        <v>381</v>
      </c>
      <c r="C37" s="184" t="s">
        <v>382</v>
      </c>
      <c r="D37" s="185" t="s">
        <v>287</v>
      </c>
      <c r="E37" s="185">
        <v>13871</v>
      </c>
      <c r="F37" s="185" t="s">
        <v>149</v>
      </c>
      <c r="G37" s="189">
        <v>109901</v>
      </c>
      <c r="H37" s="184" t="s">
        <v>106</v>
      </c>
      <c r="I37" s="184" t="s">
        <v>294</v>
      </c>
      <c r="J37" s="184" t="s">
        <v>349</v>
      </c>
      <c r="K37" s="184" t="s">
        <v>295</v>
      </c>
      <c r="L37" s="185">
        <v>1</v>
      </c>
      <c r="M37" s="186">
        <v>0</v>
      </c>
      <c r="N37" s="186">
        <v>0</v>
      </c>
      <c r="O37" s="125">
        <f t="shared" si="1"/>
        <v>0</v>
      </c>
      <c r="P37" s="164"/>
    </row>
    <row r="38" spans="1:17" ht="14.5" x14ac:dyDescent="0.35">
      <c r="A38" s="184" t="s">
        <v>155</v>
      </c>
      <c r="B38" s="184" t="s">
        <v>383</v>
      </c>
      <c r="C38" s="184" t="s">
        <v>224</v>
      </c>
      <c r="D38" s="185" t="s">
        <v>287</v>
      </c>
      <c r="E38" s="185">
        <v>13925</v>
      </c>
      <c r="F38" s="185" t="s">
        <v>149</v>
      </c>
      <c r="G38" s="184">
        <v>101001</v>
      </c>
      <c r="H38" s="184" t="s">
        <v>108</v>
      </c>
      <c r="I38" s="184" t="s">
        <v>294</v>
      </c>
      <c r="J38" s="184" t="s">
        <v>295</v>
      </c>
      <c r="K38" s="184" t="s">
        <v>295</v>
      </c>
      <c r="L38" s="185">
        <v>1</v>
      </c>
      <c r="M38" s="186">
        <v>0</v>
      </c>
      <c r="N38" s="186">
        <v>30000</v>
      </c>
      <c r="O38" s="125">
        <f t="shared" si="1"/>
        <v>-30000</v>
      </c>
      <c r="P38" s="125"/>
      <c r="Q38" s="73">
        <f t="shared" ref="Q38:Q39" si="7">M38*$Q$7*1.141</f>
        <v>0</v>
      </c>
    </row>
    <row r="39" spans="1:17" ht="14.5" x14ac:dyDescent="0.35">
      <c r="A39" s="184" t="s">
        <v>155</v>
      </c>
      <c r="B39" s="184" t="s">
        <v>383</v>
      </c>
      <c r="C39" s="184" t="s">
        <v>224</v>
      </c>
      <c r="D39" s="185" t="s">
        <v>287</v>
      </c>
      <c r="E39" s="185">
        <v>13926</v>
      </c>
      <c r="F39" s="185" t="s">
        <v>149</v>
      </c>
      <c r="G39" s="184">
        <v>101001</v>
      </c>
      <c r="H39" s="184" t="s">
        <v>108</v>
      </c>
      <c r="I39" s="184" t="s">
        <v>294</v>
      </c>
      <c r="J39" s="184" t="s">
        <v>384</v>
      </c>
      <c r="K39" s="184" t="s">
        <v>295</v>
      </c>
      <c r="L39" s="185">
        <v>1</v>
      </c>
      <c r="M39" s="186">
        <v>0</v>
      </c>
      <c r="N39" s="186">
        <v>465000</v>
      </c>
      <c r="O39" s="125">
        <f t="shared" si="1"/>
        <v>-465000</v>
      </c>
      <c r="P39" s="125"/>
      <c r="Q39" s="73">
        <f t="shared" si="7"/>
        <v>0</v>
      </c>
    </row>
    <row r="40" spans="1:17" ht="14.5" x14ac:dyDescent="0.35">
      <c r="A40" s="184" t="s">
        <v>155</v>
      </c>
      <c r="B40" s="184" t="s">
        <v>383</v>
      </c>
      <c r="C40" s="184" t="s">
        <v>224</v>
      </c>
      <c r="D40" s="185" t="s">
        <v>287</v>
      </c>
      <c r="E40" s="185">
        <v>13927</v>
      </c>
      <c r="F40" s="185" t="s">
        <v>149</v>
      </c>
      <c r="G40" s="189">
        <v>109001</v>
      </c>
      <c r="H40" s="184" t="s">
        <v>105</v>
      </c>
      <c r="I40" s="184" t="s">
        <v>294</v>
      </c>
      <c r="J40" s="184" t="s">
        <v>295</v>
      </c>
      <c r="K40" s="184" t="s">
        <v>295</v>
      </c>
      <c r="L40" s="185">
        <v>1</v>
      </c>
      <c r="M40" s="186">
        <v>0</v>
      </c>
      <c r="N40" s="186">
        <v>3000</v>
      </c>
      <c r="O40" s="125">
        <f t="shared" si="1"/>
        <v>-3000</v>
      </c>
      <c r="P40" s="164">
        <f t="shared" ref="P40:P41" si="8">M40*-1</f>
        <v>0</v>
      </c>
      <c r="Q40" s="164"/>
    </row>
    <row r="41" spans="1:17" ht="14.5" x14ac:dyDescent="0.35">
      <c r="A41" s="184" t="s">
        <v>155</v>
      </c>
      <c r="B41" s="184" t="s">
        <v>383</v>
      </c>
      <c r="C41" s="184" t="s">
        <v>224</v>
      </c>
      <c r="D41" s="185" t="s">
        <v>287</v>
      </c>
      <c r="E41" s="185">
        <v>13928</v>
      </c>
      <c r="F41" s="185" t="s">
        <v>149</v>
      </c>
      <c r="G41" s="189">
        <v>109001</v>
      </c>
      <c r="H41" s="184" t="s">
        <v>105</v>
      </c>
      <c r="I41" s="184" t="s">
        <v>294</v>
      </c>
      <c r="J41" s="184" t="s">
        <v>384</v>
      </c>
      <c r="K41" s="184" t="s">
        <v>295</v>
      </c>
      <c r="L41" s="185">
        <v>1</v>
      </c>
      <c r="M41" s="186">
        <v>0</v>
      </c>
      <c r="N41" s="186">
        <v>48000</v>
      </c>
      <c r="O41" s="125">
        <f t="shared" si="1"/>
        <v>-48000</v>
      </c>
      <c r="P41" s="164">
        <f t="shared" si="8"/>
        <v>0</v>
      </c>
    </row>
    <row r="42" spans="1:17" ht="14.5" x14ac:dyDescent="0.35">
      <c r="A42" s="184" t="s">
        <v>155</v>
      </c>
      <c r="B42" s="184" t="s">
        <v>383</v>
      </c>
      <c r="C42" s="184" t="s">
        <v>224</v>
      </c>
      <c r="D42" s="185" t="s">
        <v>287</v>
      </c>
      <c r="E42" s="185">
        <v>13929</v>
      </c>
      <c r="F42" s="185" t="s">
        <v>149</v>
      </c>
      <c r="G42" s="189">
        <v>109901</v>
      </c>
      <c r="H42" s="184" t="s">
        <v>106</v>
      </c>
      <c r="I42" s="184" t="s">
        <v>294</v>
      </c>
      <c r="J42" s="184" t="s">
        <v>295</v>
      </c>
      <c r="K42" s="184" t="s">
        <v>295</v>
      </c>
      <c r="L42" s="185">
        <v>1</v>
      </c>
      <c r="M42" s="186">
        <v>0</v>
      </c>
      <c r="N42" s="186">
        <v>5000</v>
      </c>
      <c r="O42" s="125">
        <f t="shared" si="1"/>
        <v>-5000</v>
      </c>
      <c r="P42" s="125"/>
    </row>
    <row r="43" spans="1:17" ht="14.5" x14ac:dyDescent="0.35">
      <c r="A43" s="184" t="s">
        <v>155</v>
      </c>
      <c r="B43" s="184" t="s">
        <v>383</v>
      </c>
      <c r="C43" s="184" t="s">
        <v>224</v>
      </c>
      <c r="D43" s="185" t="s">
        <v>287</v>
      </c>
      <c r="E43" s="185">
        <v>13930</v>
      </c>
      <c r="F43" s="185" t="s">
        <v>149</v>
      </c>
      <c r="G43" s="189">
        <v>109901</v>
      </c>
      <c r="H43" s="184" t="s">
        <v>106</v>
      </c>
      <c r="I43" s="184" t="s">
        <v>294</v>
      </c>
      <c r="J43" s="184" t="s">
        <v>384</v>
      </c>
      <c r="K43" s="184" t="s">
        <v>295</v>
      </c>
      <c r="L43" s="185">
        <v>1</v>
      </c>
      <c r="M43" s="186">
        <v>0</v>
      </c>
      <c r="N43" s="186">
        <v>76000</v>
      </c>
      <c r="O43" s="125">
        <f t="shared" si="1"/>
        <v>-76000</v>
      </c>
      <c r="P43" s="164"/>
    </row>
    <row r="44" spans="1:17" ht="14.5" x14ac:dyDescent="0.35">
      <c r="A44" s="184" t="s">
        <v>155</v>
      </c>
      <c r="B44" s="184" t="s">
        <v>387</v>
      </c>
      <c r="C44" s="184" t="s">
        <v>167</v>
      </c>
      <c r="D44" s="185" t="s">
        <v>287</v>
      </c>
      <c r="E44" s="185">
        <v>13993</v>
      </c>
      <c r="F44" s="185" t="s">
        <v>149</v>
      </c>
      <c r="G44" s="184">
        <v>101001</v>
      </c>
      <c r="H44" s="184" t="s">
        <v>108</v>
      </c>
      <c r="I44" s="184" t="s">
        <v>294</v>
      </c>
      <c r="J44" s="184" t="s">
        <v>295</v>
      </c>
      <c r="K44" s="184" t="s">
        <v>295</v>
      </c>
      <c r="L44" s="185">
        <v>1</v>
      </c>
      <c r="M44" s="186">
        <v>4302149.6100000003</v>
      </c>
      <c r="N44" s="186">
        <v>4497000</v>
      </c>
      <c r="O44" s="125">
        <f t="shared" si="1"/>
        <v>-194850.38999999966</v>
      </c>
      <c r="P44" s="125"/>
      <c r="Q44" s="73">
        <f t="shared" ref="Q44:Q65" si="9">M44*$Q$7*1.141</f>
        <v>490875.27050100011</v>
      </c>
    </row>
    <row r="45" spans="1:17" ht="14.5" x14ac:dyDescent="0.35">
      <c r="A45" s="184" t="s">
        <v>155</v>
      </c>
      <c r="B45" s="184" t="s">
        <v>387</v>
      </c>
      <c r="C45" s="184" t="s">
        <v>167</v>
      </c>
      <c r="D45" s="185" t="s">
        <v>287</v>
      </c>
      <c r="E45" s="185">
        <v>13994</v>
      </c>
      <c r="F45" s="185" t="s">
        <v>149</v>
      </c>
      <c r="G45" s="184">
        <v>101002</v>
      </c>
      <c r="H45" s="184" t="s">
        <v>109</v>
      </c>
      <c r="I45" s="184" t="s">
        <v>294</v>
      </c>
      <c r="J45" s="184" t="s">
        <v>295</v>
      </c>
      <c r="K45" s="184" t="s">
        <v>295</v>
      </c>
      <c r="L45" s="185">
        <v>1</v>
      </c>
      <c r="M45" s="186">
        <v>-5851.96</v>
      </c>
      <c r="N45" s="186">
        <v>0</v>
      </c>
      <c r="O45" s="125">
        <f t="shared" si="1"/>
        <v>-5851.96</v>
      </c>
      <c r="P45" s="125"/>
      <c r="Q45" s="73">
        <f t="shared" si="9"/>
        <v>-667.70863600000007</v>
      </c>
    </row>
    <row r="46" spans="1:17" ht="14.5" x14ac:dyDescent="0.35">
      <c r="A46" s="184" t="s">
        <v>155</v>
      </c>
      <c r="B46" s="184" t="s">
        <v>387</v>
      </c>
      <c r="C46" s="184" t="s">
        <v>167</v>
      </c>
      <c r="D46" s="185" t="s">
        <v>287</v>
      </c>
      <c r="E46" s="185">
        <v>13995</v>
      </c>
      <c r="F46" s="185" t="s">
        <v>149</v>
      </c>
      <c r="G46" s="184">
        <v>101002</v>
      </c>
      <c r="H46" s="184" t="s">
        <v>109</v>
      </c>
      <c r="I46" s="184" t="s">
        <v>294</v>
      </c>
      <c r="J46" s="184" t="s">
        <v>349</v>
      </c>
      <c r="K46" s="184" t="s">
        <v>295</v>
      </c>
      <c r="L46" s="185">
        <v>1</v>
      </c>
      <c r="M46" s="186">
        <v>19538.23</v>
      </c>
      <c r="N46" s="186">
        <v>84000</v>
      </c>
      <c r="O46" s="125">
        <f t="shared" si="1"/>
        <v>-64461.770000000004</v>
      </c>
      <c r="P46" s="125"/>
      <c r="Q46" s="73">
        <f t="shared" si="9"/>
        <v>2229.3120430000004</v>
      </c>
    </row>
    <row r="47" spans="1:17" ht="14.5" x14ac:dyDescent="0.35">
      <c r="A47" s="184" t="s">
        <v>155</v>
      </c>
      <c r="B47" s="184" t="s">
        <v>387</v>
      </c>
      <c r="C47" s="184" t="s">
        <v>167</v>
      </c>
      <c r="D47" s="185" t="s">
        <v>287</v>
      </c>
      <c r="E47" s="185">
        <v>13996</v>
      </c>
      <c r="F47" s="185" t="s">
        <v>149</v>
      </c>
      <c r="G47" s="184">
        <v>101002</v>
      </c>
      <c r="H47" s="184" t="s">
        <v>109</v>
      </c>
      <c r="I47" s="184" t="s">
        <v>294</v>
      </c>
      <c r="J47" s="184" t="s">
        <v>347</v>
      </c>
      <c r="K47" s="184" t="s">
        <v>295</v>
      </c>
      <c r="L47" s="185">
        <v>1</v>
      </c>
      <c r="M47" s="186">
        <v>6871.32</v>
      </c>
      <c r="N47" s="186">
        <v>0</v>
      </c>
      <c r="O47" s="125">
        <f t="shared" si="1"/>
        <v>6871.32</v>
      </c>
      <c r="P47" s="125"/>
      <c r="Q47" s="73">
        <f t="shared" si="9"/>
        <v>784.0176120000001</v>
      </c>
    </row>
    <row r="48" spans="1:17" ht="14.5" x14ac:dyDescent="0.35">
      <c r="A48" s="184" t="s">
        <v>155</v>
      </c>
      <c r="B48" s="184" t="s">
        <v>387</v>
      </c>
      <c r="C48" s="184" t="s">
        <v>167</v>
      </c>
      <c r="D48" s="185" t="s">
        <v>287</v>
      </c>
      <c r="E48" s="185">
        <v>13997</v>
      </c>
      <c r="F48" s="185" t="s">
        <v>149</v>
      </c>
      <c r="G48" s="184">
        <v>101039</v>
      </c>
      <c r="H48" s="184" t="s">
        <v>111</v>
      </c>
      <c r="I48" s="184" t="s">
        <v>294</v>
      </c>
      <c r="J48" s="184" t="s">
        <v>295</v>
      </c>
      <c r="K48" s="184" t="s">
        <v>295</v>
      </c>
      <c r="L48" s="185">
        <v>1</v>
      </c>
      <c r="M48" s="186">
        <v>148970.4</v>
      </c>
      <c r="N48" s="186">
        <v>12000</v>
      </c>
      <c r="O48" s="125">
        <f t="shared" si="1"/>
        <v>136970.4</v>
      </c>
      <c r="P48" s="125"/>
      <c r="Q48" s="73">
        <f t="shared" si="9"/>
        <v>16997.522640000003</v>
      </c>
    </row>
    <row r="49" spans="1:17" ht="14.5" x14ac:dyDescent="0.35">
      <c r="A49" s="184" t="s">
        <v>155</v>
      </c>
      <c r="B49" s="184" t="s">
        <v>387</v>
      </c>
      <c r="C49" s="184" t="s">
        <v>167</v>
      </c>
      <c r="D49" s="185" t="s">
        <v>287</v>
      </c>
      <c r="E49" s="185">
        <v>13998</v>
      </c>
      <c r="F49" s="185" t="s">
        <v>149</v>
      </c>
      <c r="G49" s="184">
        <v>102001</v>
      </c>
      <c r="H49" s="184" t="s">
        <v>150</v>
      </c>
      <c r="I49" s="184" t="s">
        <v>294</v>
      </c>
      <c r="J49" s="184" t="s">
        <v>295</v>
      </c>
      <c r="K49" s="184" t="s">
        <v>295</v>
      </c>
      <c r="L49" s="185">
        <v>1</v>
      </c>
      <c r="M49" s="186">
        <v>5773.94</v>
      </c>
      <c r="N49" s="186">
        <v>0</v>
      </c>
      <c r="O49" s="125">
        <f t="shared" si="1"/>
        <v>5773.94</v>
      </c>
      <c r="P49" s="125"/>
      <c r="Q49" s="73">
        <f t="shared" si="9"/>
        <v>658.80655400000001</v>
      </c>
    </row>
    <row r="50" spans="1:17" ht="14.5" x14ac:dyDescent="0.35">
      <c r="A50" s="184" t="s">
        <v>155</v>
      </c>
      <c r="B50" s="184" t="s">
        <v>387</v>
      </c>
      <c r="C50" s="184" t="s">
        <v>167</v>
      </c>
      <c r="D50" s="185" t="s">
        <v>287</v>
      </c>
      <c r="E50" s="185">
        <v>13999</v>
      </c>
      <c r="F50" s="185" t="s">
        <v>149</v>
      </c>
      <c r="G50" s="184">
        <v>102002</v>
      </c>
      <c r="H50" s="184" t="s">
        <v>112</v>
      </c>
      <c r="I50" s="184" t="s">
        <v>294</v>
      </c>
      <c r="J50" s="184" t="s">
        <v>295</v>
      </c>
      <c r="K50" s="184" t="s">
        <v>295</v>
      </c>
      <c r="L50" s="185">
        <v>1</v>
      </c>
      <c r="M50" s="186">
        <v>3652.14</v>
      </c>
      <c r="N50" s="186">
        <v>0</v>
      </c>
      <c r="O50" s="125">
        <f t="shared" si="1"/>
        <v>3652.14</v>
      </c>
      <c r="P50" s="125"/>
      <c r="Q50" s="73">
        <f t="shared" si="9"/>
        <v>416.70917400000002</v>
      </c>
    </row>
    <row r="51" spans="1:17" ht="14.5" x14ac:dyDescent="0.35">
      <c r="A51" s="184" t="s">
        <v>155</v>
      </c>
      <c r="B51" s="184" t="s">
        <v>387</v>
      </c>
      <c r="C51" s="184" t="s">
        <v>167</v>
      </c>
      <c r="D51" s="185" t="s">
        <v>287</v>
      </c>
      <c r="E51" s="185">
        <v>14000</v>
      </c>
      <c r="F51" s="185" t="s">
        <v>149</v>
      </c>
      <c r="G51" s="184">
        <v>102002</v>
      </c>
      <c r="H51" s="184" t="s">
        <v>112</v>
      </c>
      <c r="I51" s="184" t="s">
        <v>294</v>
      </c>
      <c r="J51" s="184" t="s">
        <v>349</v>
      </c>
      <c r="K51" s="184" t="s">
        <v>295</v>
      </c>
      <c r="L51" s="185">
        <v>1</v>
      </c>
      <c r="M51" s="186">
        <v>3337.62</v>
      </c>
      <c r="N51" s="186">
        <v>0</v>
      </c>
      <c r="O51" s="125">
        <f t="shared" si="1"/>
        <v>3337.62</v>
      </c>
      <c r="P51" s="125"/>
      <c r="Q51" s="73">
        <f t="shared" si="9"/>
        <v>380.82244200000002</v>
      </c>
    </row>
    <row r="52" spans="1:17" ht="14.5" x14ac:dyDescent="0.35">
      <c r="A52" s="184" t="s">
        <v>155</v>
      </c>
      <c r="B52" s="184" t="s">
        <v>387</v>
      </c>
      <c r="C52" s="184" t="s">
        <v>167</v>
      </c>
      <c r="D52" s="185" t="s">
        <v>287</v>
      </c>
      <c r="E52" s="185">
        <v>14001</v>
      </c>
      <c r="F52" s="185" t="s">
        <v>149</v>
      </c>
      <c r="G52" s="184">
        <v>102003</v>
      </c>
      <c r="H52" s="184" t="s">
        <v>110</v>
      </c>
      <c r="I52" s="184" t="s">
        <v>294</v>
      </c>
      <c r="J52" s="184" t="s">
        <v>295</v>
      </c>
      <c r="K52" s="184" t="s">
        <v>295</v>
      </c>
      <c r="L52" s="185">
        <v>1</v>
      </c>
      <c r="M52" s="186">
        <v>10477.77</v>
      </c>
      <c r="N52" s="186">
        <v>99000</v>
      </c>
      <c r="O52" s="125">
        <f t="shared" si="1"/>
        <v>-88522.23</v>
      </c>
      <c r="P52" s="125"/>
      <c r="Q52" s="73">
        <f t="shared" si="9"/>
        <v>1195.513557</v>
      </c>
    </row>
    <row r="53" spans="1:17" ht="14.5" x14ac:dyDescent="0.35">
      <c r="A53" s="184" t="s">
        <v>155</v>
      </c>
      <c r="B53" s="184" t="s">
        <v>387</v>
      </c>
      <c r="C53" s="184" t="s">
        <v>167</v>
      </c>
      <c r="D53" s="185" t="s">
        <v>287</v>
      </c>
      <c r="E53" s="185">
        <v>14002</v>
      </c>
      <c r="F53" s="185" t="s">
        <v>149</v>
      </c>
      <c r="G53" s="184">
        <v>102003</v>
      </c>
      <c r="H53" s="184" t="s">
        <v>110</v>
      </c>
      <c r="I53" s="184" t="s">
        <v>294</v>
      </c>
      <c r="J53" s="184" t="s">
        <v>349</v>
      </c>
      <c r="K53" s="184" t="s">
        <v>295</v>
      </c>
      <c r="L53" s="185">
        <v>1</v>
      </c>
      <c r="M53" s="186">
        <v>22373.65</v>
      </c>
      <c r="N53" s="186">
        <v>0</v>
      </c>
      <c r="O53" s="125">
        <f t="shared" si="1"/>
        <v>22373.65</v>
      </c>
      <c r="P53" s="125"/>
      <c r="Q53" s="73">
        <f t="shared" si="9"/>
        <v>2552.8334650000002</v>
      </c>
    </row>
    <row r="54" spans="1:17" ht="14.5" x14ac:dyDescent="0.35">
      <c r="A54" s="184" t="s">
        <v>155</v>
      </c>
      <c r="B54" s="184" t="s">
        <v>387</v>
      </c>
      <c r="C54" s="184" t="s">
        <v>167</v>
      </c>
      <c r="D54" s="185" t="s">
        <v>287</v>
      </c>
      <c r="E54" s="185">
        <v>14003</v>
      </c>
      <c r="F54" s="185" t="s">
        <v>149</v>
      </c>
      <c r="G54" s="184">
        <v>102005</v>
      </c>
      <c r="H54" s="184" t="s">
        <v>116</v>
      </c>
      <c r="I54" s="184" t="s">
        <v>294</v>
      </c>
      <c r="J54" s="184" t="s">
        <v>295</v>
      </c>
      <c r="K54" s="184" t="s">
        <v>295</v>
      </c>
      <c r="L54" s="185">
        <v>1</v>
      </c>
      <c r="M54" s="186">
        <v>26122.639999999999</v>
      </c>
      <c r="N54" s="186">
        <v>0</v>
      </c>
      <c r="O54" s="125">
        <f t="shared" si="1"/>
        <v>26122.639999999999</v>
      </c>
      <c r="P54" s="125"/>
      <c r="Q54" s="73">
        <f t="shared" si="9"/>
        <v>2980.5932240000002</v>
      </c>
    </row>
    <row r="55" spans="1:17" ht="14.5" x14ac:dyDescent="0.35">
      <c r="A55" s="184" t="s">
        <v>155</v>
      </c>
      <c r="B55" s="184" t="s">
        <v>387</v>
      </c>
      <c r="C55" s="184" t="s">
        <v>167</v>
      </c>
      <c r="D55" s="185" t="s">
        <v>287</v>
      </c>
      <c r="E55" s="185">
        <v>14004</v>
      </c>
      <c r="F55" s="185" t="s">
        <v>149</v>
      </c>
      <c r="G55" s="184">
        <v>102005</v>
      </c>
      <c r="H55" s="184" t="s">
        <v>116</v>
      </c>
      <c r="I55" s="184" t="s">
        <v>294</v>
      </c>
      <c r="J55" s="184" t="s">
        <v>349</v>
      </c>
      <c r="K55" s="184" t="s">
        <v>295</v>
      </c>
      <c r="L55" s="185">
        <v>1</v>
      </c>
      <c r="M55" s="186">
        <v>14647.72</v>
      </c>
      <c r="N55" s="186">
        <v>0</v>
      </c>
      <c r="O55" s="125">
        <f t="shared" si="1"/>
        <v>14647.72</v>
      </c>
      <c r="P55" s="125"/>
      <c r="Q55" s="73">
        <f t="shared" si="9"/>
        <v>1671.304852</v>
      </c>
    </row>
    <row r="56" spans="1:17" ht="14.5" x14ac:dyDescent="0.35">
      <c r="A56" s="184" t="s">
        <v>155</v>
      </c>
      <c r="B56" s="184" t="s">
        <v>387</v>
      </c>
      <c r="C56" s="184" t="s">
        <v>167</v>
      </c>
      <c r="D56" s="185" t="s">
        <v>287</v>
      </c>
      <c r="E56" s="185">
        <v>14005</v>
      </c>
      <c r="F56" s="185" t="s">
        <v>149</v>
      </c>
      <c r="G56" s="184">
        <v>102062</v>
      </c>
      <c r="H56" s="184" t="s">
        <v>117</v>
      </c>
      <c r="I56" s="184" t="s">
        <v>294</v>
      </c>
      <c r="J56" s="184" t="s">
        <v>295</v>
      </c>
      <c r="K56" s="184" t="s">
        <v>295</v>
      </c>
      <c r="L56" s="185">
        <v>1</v>
      </c>
      <c r="M56" s="186">
        <v>4366.3</v>
      </c>
      <c r="N56" s="186">
        <v>0</v>
      </c>
      <c r="O56" s="125">
        <f t="shared" si="1"/>
        <v>4366.3</v>
      </c>
      <c r="P56" s="125"/>
      <c r="Q56" s="73">
        <f t="shared" si="9"/>
        <v>498.19483000000008</v>
      </c>
    </row>
    <row r="57" spans="1:17" ht="14.5" x14ac:dyDescent="0.35">
      <c r="A57" s="184" t="s">
        <v>155</v>
      </c>
      <c r="B57" s="184" t="s">
        <v>387</v>
      </c>
      <c r="C57" s="184" t="s">
        <v>167</v>
      </c>
      <c r="D57" s="185" t="s">
        <v>287</v>
      </c>
      <c r="E57" s="185">
        <v>14006</v>
      </c>
      <c r="F57" s="185" t="s">
        <v>149</v>
      </c>
      <c r="G57" s="184">
        <v>103001</v>
      </c>
      <c r="H57" s="184" t="s">
        <v>113</v>
      </c>
      <c r="I57" s="184" t="s">
        <v>294</v>
      </c>
      <c r="J57" s="184" t="s">
        <v>295</v>
      </c>
      <c r="K57" s="184" t="s">
        <v>295</v>
      </c>
      <c r="L57" s="185">
        <v>1</v>
      </c>
      <c r="M57" s="186">
        <v>89848.98</v>
      </c>
      <c r="N57" s="186">
        <v>0</v>
      </c>
      <c r="O57" s="125">
        <f t="shared" si="1"/>
        <v>89848.98</v>
      </c>
      <c r="P57" s="125"/>
      <c r="Q57" s="73">
        <f t="shared" si="9"/>
        <v>10251.768618</v>
      </c>
    </row>
    <row r="58" spans="1:17" ht="14.5" x14ac:dyDescent="0.35">
      <c r="A58" s="184" t="s">
        <v>155</v>
      </c>
      <c r="B58" s="184" t="s">
        <v>387</v>
      </c>
      <c r="C58" s="184" t="s">
        <v>167</v>
      </c>
      <c r="D58" s="185" t="s">
        <v>287</v>
      </c>
      <c r="E58" s="185">
        <v>14007</v>
      </c>
      <c r="F58" s="185" t="s">
        <v>149</v>
      </c>
      <c r="G58" s="184">
        <v>103001</v>
      </c>
      <c r="H58" s="184" t="s">
        <v>113</v>
      </c>
      <c r="I58" s="184" t="s">
        <v>294</v>
      </c>
      <c r="J58" s="184" t="s">
        <v>349</v>
      </c>
      <c r="K58" s="184" t="s">
        <v>295</v>
      </c>
      <c r="L58" s="185">
        <v>1</v>
      </c>
      <c r="M58" s="186">
        <v>23892.42</v>
      </c>
      <c r="N58" s="186">
        <v>0</v>
      </c>
      <c r="O58" s="125">
        <f t="shared" si="1"/>
        <v>23892.42</v>
      </c>
      <c r="P58" s="125"/>
      <c r="Q58" s="73">
        <f t="shared" si="9"/>
        <v>2726.1251219999999</v>
      </c>
    </row>
    <row r="59" spans="1:17" ht="14.5" x14ac:dyDescent="0.35">
      <c r="A59" s="184" t="s">
        <v>155</v>
      </c>
      <c r="B59" s="184" t="s">
        <v>387</v>
      </c>
      <c r="C59" s="184" t="s">
        <v>167</v>
      </c>
      <c r="D59" s="185" t="s">
        <v>287</v>
      </c>
      <c r="E59" s="185">
        <v>14008</v>
      </c>
      <c r="F59" s="185" t="s">
        <v>149</v>
      </c>
      <c r="G59" s="184">
        <v>103001</v>
      </c>
      <c r="H59" s="184" t="s">
        <v>113</v>
      </c>
      <c r="I59" s="184" t="s">
        <v>294</v>
      </c>
      <c r="J59" s="184" t="s">
        <v>347</v>
      </c>
      <c r="K59" s="184" t="s">
        <v>295</v>
      </c>
      <c r="L59" s="185">
        <v>1</v>
      </c>
      <c r="M59" s="186">
        <v>15149.47</v>
      </c>
      <c r="N59" s="186">
        <v>0</v>
      </c>
      <c r="O59" s="125">
        <f t="shared" si="1"/>
        <v>15149.47</v>
      </c>
      <c r="P59" s="125"/>
      <c r="Q59" s="73">
        <f t="shared" si="9"/>
        <v>1728.5545270000002</v>
      </c>
    </row>
    <row r="60" spans="1:17" ht="14.5" x14ac:dyDescent="0.35">
      <c r="A60" s="184" t="s">
        <v>155</v>
      </c>
      <c r="B60" s="184" t="s">
        <v>387</v>
      </c>
      <c r="C60" s="184" t="s">
        <v>167</v>
      </c>
      <c r="D60" s="185" t="s">
        <v>287</v>
      </c>
      <c r="E60" s="185">
        <v>14009</v>
      </c>
      <c r="F60" s="185" t="s">
        <v>149</v>
      </c>
      <c r="G60" s="184">
        <v>103069</v>
      </c>
      <c r="H60" s="184" t="s">
        <v>225</v>
      </c>
      <c r="I60" s="184" t="s">
        <v>294</v>
      </c>
      <c r="J60" s="184" t="s">
        <v>295</v>
      </c>
      <c r="K60" s="184" t="s">
        <v>295</v>
      </c>
      <c r="L60" s="185">
        <v>1</v>
      </c>
      <c r="M60" s="186">
        <v>17810</v>
      </c>
      <c r="N60" s="186">
        <v>0</v>
      </c>
      <c r="O60" s="125">
        <f t="shared" si="1"/>
        <v>17810</v>
      </c>
      <c r="P60" s="125"/>
      <c r="Q60" s="73">
        <f t="shared" si="9"/>
        <v>2032.1210000000001</v>
      </c>
    </row>
    <row r="61" spans="1:17" ht="14.5" x14ac:dyDescent="0.35">
      <c r="A61" s="184" t="s">
        <v>155</v>
      </c>
      <c r="B61" s="184" t="s">
        <v>387</v>
      </c>
      <c r="C61" s="184" t="s">
        <v>167</v>
      </c>
      <c r="D61" s="185" t="s">
        <v>287</v>
      </c>
      <c r="E61" s="185">
        <v>14010</v>
      </c>
      <c r="F61" s="185" t="s">
        <v>149</v>
      </c>
      <c r="G61" s="184">
        <v>104000</v>
      </c>
      <c r="H61" s="184" t="s">
        <v>114</v>
      </c>
      <c r="I61" s="184" t="s">
        <v>294</v>
      </c>
      <c r="J61" s="184" t="s">
        <v>295</v>
      </c>
      <c r="K61" s="184" t="s">
        <v>295</v>
      </c>
      <c r="L61" s="185">
        <v>1</v>
      </c>
      <c r="M61" s="186">
        <v>29310.95</v>
      </c>
      <c r="N61" s="186">
        <v>38000</v>
      </c>
      <c r="O61" s="125">
        <f t="shared" si="1"/>
        <v>-8689.0499999999993</v>
      </c>
      <c r="P61" s="125"/>
      <c r="Q61" s="73">
        <f t="shared" si="9"/>
        <v>3344.3793950000004</v>
      </c>
    </row>
    <row r="62" spans="1:17" ht="14.5" x14ac:dyDescent="0.35">
      <c r="A62" s="184" t="s">
        <v>155</v>
      </c>
      <c r="B62" s="184" t="s">
        <v>387</v>
      </c>
      <c r="C62" s="184" t="s">
        <v>167</v>
      </c>
      <c r="D62" s="185" t="s">
        <v>287</v>
      </c>
      <c r="E62" s="185">
        <v>14011</v>
      </c>
      <c r="F62" s="185" t="s">
        <v>149</v>
      </c>
      <c r="G62" s="184">
        <v>104000</v>
      </c>
      <c r="H62" s="184" t="s">
        <v>114</v>
      </c>
      <c r="I62" s="184" t="s">
        <v>294</v>
      </c>
      <c r="J62" s="184" t="s">
        <v>349</v>
      </c>
      <c r="K62" s="184" t="s">
        <v>295</v>
      </c>
      <c r="L62" s="185">
        <v>1</v>
      </c>
      <c r="M62" s="186">
        <v>29263.68</v>
      </c>
      <c r="N62" s="186">
        <v>33000</v>
      </c>
      <c r="O62" s="125">
        <f t="shared" si="1"/>
        <v>-3736.3199999999997</v>
      </c>
      <c r="P62" s="125"/>
      <c r="Q62" s="73">
        <f t="shared" si="9"/>
        <v>3338.9858880000006</v>
      </c>
    </row>
    <row r="63" spans="1:17" ht="14.5" x14ac:dyDescent="0.35">
      <c r="A63" s="184" t="s">
        <v>155</v>
      </c>
      <c r="B63" s="184" t="s">
        <v>387</v>
      </c>
      <c r="C63" s="184" t="s">
        <v>167</v>
      </c>
      <c r="D63" s="185" t="s">
        <v>287</v>
      </c>
      <c r="E63" s="185">
        <v>14012</v>
      </c>
      <c r="F63" s="185" t="s">
        <v>149</v>
      </c>
      <c r="G63" s="184">
        <v>105010</v>
      </c>
      <c r="H63" s="184" t="s">
        <v>124</v>
      </c>
      <c r="I63" s="184" t="s">
        <v>294</v>
      </c>
      <c r="J63" s="184" t="s">
        <v>295</v>
      </c>
      <c r="K63" s="184" t="s">
        <v>295</v>
      </c>
      <c r="L63" s="185">
        <v>1</v>
      </c>
      <c r="M63" s="186">
        <v>8818.23</v>
      </c>
      <c r="N63" s="186">
        <v>0</v>
      </c>
      <c r="O63" s="125">
        <f t="shared" si="1"/>
        <v>8818.23</v>
      </c>
      <c r="P63" s="125"/>
      <c r="Q63" s="73">
        <f t="shared" si="9"/>
        <v>1006.160043</v>
      </c>
    </row>
    <row r="64" spans="1:17" ht="14.5" x14ac:dyDescent="0.35">
      <c r="A64" s="184" t="s">
        <v>155</v>
      </c>
      <c r="B64" s="184" t="s">
        <v>387</v>
      </c>
      <c r="C64" s="184" t="s">
        <v>167</v>
      </c>
      <c r="D64" s="185" t="s">
        <v>287</v>
      </c>
      <c r="E64" s="185">
        <v>14013</v>
      </c>
      <c r="F64" s="185" t="s">
        <v>149</v>
      </c>
      <c r="G64" s="184">
        <v>105010</v>
      </c>
      <c r="H64" s="184" t="s">
        <v>124</v>
      </c>
      <c r="I64" s="184" t="s">
        <v>294</v>
      </c>
      <c r="J64" s="184" t="s">
        <v>349</v>
      </c>
      <c r="K64" s="184" t="s">
        <v>295</v>
      </c>
      <c r="L64" s="185">
        <v>1</v>
      </c>
      <c r="M64" s="186">
        <v>2312.4699999999998</v>
      </c>
      <c r="N64" s="186">
        <v>0</v>
      </c>
      <c r="O64" s="125">
        <f t="shared" si="1"/>
        <v>2312.4699999999998</v>
      </c>
      <c r="P64" s="125"/>
      <c r="Q64" s="73">
        <f t="shared" si="9"/>
        <v>263.85282699999999</v>
      </c>
    </row>
    <row r="65" spans="1:17" ht="14.5" x14ac:dyDescent="0.35">
      <c r="A65" s="184" t="s">
        <v>155</v>
      </c>
      <c r="B65" s="184" t="s">
        <v>387</v>
      </c>
      <c r="C65" s="184" t="s">
        <v>167</v>
      </c>
      <c r="D65" s="185" t="s">
        <v>287</v>
      </c>
      <c r="E65" s="185">
        <v>14014</v>
      </c>
      <c r="F65" s="185" t="s">
        <v>149</v>
      </c>
      <c r="G65" s="184">
        <v>105019</v>
      </c>
      <c r="H65" s="184" t="s">
        <v>115</v>
      </c>
      <c r="I65" s="184" t="s">
        <v>294</v>
      </c>
      <c r="J65" s="184" t="s">
        <v>295</v>
      </c>
      <c r="K65" s="184" t="s">
        <v>295</v>
      </c>
      <c r="L65" s="185">
        <v>1</v>
      </c>
      <c r="M65" s="186">
        <v>460.04</v>
      </c>
      <c r="N65" s="186">
        <v>0</v>
      </c>
      <c r="O65" s="125">
        <f t="shared" si="1"/>
        <v>460.04</v>
      </c>
      <c r="P65" s="125"/>
      <c r="Q65" s="73">
        <f t="shared" si="9"/>
        <v>52.490564000000006</v>
      </c>
    </row>
    <row r="66" spans="1:17" ht="14.5" x14ac:dyDescent="0.35">
      <c r="A66" s="184" t="s">
        <v>155</v>
      </c>
      <c r="B66" s="184" t="s">
        <v>387</v>
      </c>
      <c r="C66" s="184" t="s">
        <v>167</v>
      </c>
      <c r="D66" s="185" t="s">
        <v>287</v>
      </c>
      <c r="E66" s="185">
        <v>14015</v>
      </c>
      <c r="F66" s="185" t="s">
        <v>149</v>
      </c>
      <c r="G66" s="189">
        <v>109001</v>
      </c>
      <c r="H66" s="184" t="s">
        <v>105</v>
      </c>
      <c r="I66" s="184" t="s">
        <v>294</v>
      </c>
      <c r="J66" s="184" t="s">
        <v>295</v>
      </c>
      <c r="K66" s="184" t="s">
        <v>295</v>
      </c>
      <c r="L66" s="185">
        <v>1</v>
      </c>
      <c r="M66" s="186">
        <v>455100.05</v>
      </c>
      <c r="N66" s="186">
        <v>465000</v>
      </c>
      <c r="O66" s="125">
        <f t="shared" si="1"/>
        <v>-9899.9500000000116</v>
      </c>
      <c r="P66" s="164">
        <f t="shared" ref="P66:P68" si="10">M66*-1</f>
        <v>-455100.05</v>
      </c>
      <c r="Q66" s="164"/>
    </row>
    <row r="67" spans="1:17" ht="14.5" x14ac:dyDescent="0.35">
      <c r="A67" s="184" t="s">
        <v>155</v>
      </c>
      <c r="B67" s="184" t="s">
        <v>387</v>
      </c>
      <c r="C67" s="184" t="s">
        <v>167</v>
      </c>
      <c r="D67" s="185" t="s">
        <v>287</v>
      </c>
      <c r="E67" s="185">
        <v>14016</v>
      </c>
      <c r="F67" s="185" t="s">
        <v>149</v>
      </c>
      <c r="G67" s="189">
        <v>109001</v>
      </c>
      <c r="H67" s="184" t="s">
        <v>105</v>
      </c>
      <c r="I67" s="184" t="s">
        <v>294</v>
      </c>
      <c r="J67" s="184" t="s">
        <v>349</v>
      </c>
      <c r="K67" s="184" t="s">
        <v>295</v>
      </c>
      <c r="L67" s="185">
        <v>1</v>
      </c>
      <c r="M67" s="186">
        <v>8452.82</v>
      </c>
      <c r="N67" s="186">
        <v>8000</v>
      </c>
      <c r="O67" s="125">
        <f t="shared" si="1"/>
        <v>452.81999999999971</v>
      </c>
      <c r="P67" s="164">
        <f t="shared" si="10"/>
        <v>-8452.82</v>
      </c>
      <c r="Q67" s="164"/>
    </row>
    <row r="68" spans="1:17" ht="14.5" x14ac:dyDescent="0.35">
      <c r="A68" s="184" t="s">
        <v>155</v>
      </c>
      <c r="B68" s="184" t="s">
        <v>387</v>
      </c>
      <c r="C68" s="184" t="s">
        <v>167</v>
      </c>
      <c r="D68" s="185" t="s">
        <v>287</v>
      </c>
      <c r="E68" s="185">
        <v>14017</v>
      </c>
      <c r="F68" s="185" t="s">
        <v>149</v>
      </c>
      <c r="G68" s="189">
        <v>109001</v>
      </c>
      <c r="H68" s="184" t="s">
        <v>105</v>
      </c>
      <c r="I68" s="184" t="s">
        <v>294</v>
      </c>
      <c r="J68" s="184" t="s">
        <v>347</v>
      </c>
      <c r="K68" s="184" t="s">
        <v>295</v>
      </c>
      <c r="L68" s="185">
        <v>1</v>
      </c>
      <c r="M68" s="186">
        <v>2226.2399999999998</v>
      </c>
      <c r="N68" s="186">
        <v>0</v>
      </c>
      <c r="O68" s="125">
        <f t="shared" si="1"/>
        <v>2226.2399999999998</v>
      </c>
      <c r="P68" s="164">
        <f t="shared" si="10"/>
        <v>-2226.2399999999998</v>
      </c>
      <c r="Q68" s="164"/>
    </row>
    <row r="69" spans="1:17" ht="14.5" x14ac:dyDescent="0.35">
      <c r="A69" s="184" t="s">
        <v>155</v>
      </c>
      <c r="B69" s="184" t="s">
        <v>387</v>
      </c>
      <c r="C69" s="184" t="s">
        <v>167</v>
      </c>
      <c r="D69" s="185" t="s">
        <v>287</v>
      </c>
      <c r="E69" s="185">
        <v>14018</v>
      </c>
      <c r="F69" s="185" t="s">
        <v>149</v>
      </c>
      <c r="G69" s="189">
        <v>109901</v>
      </c>
      <c r="H69" s="184" t="s">
        <v>106</v>
      </c>
      <c r="I69" s="184" t="s">
        <v>294</v>
      </c>
      <c r="J69" s="184" t="s">
        <v>295</v>
      </c>
      <c r="K69" s="184" t="s">
        <v>295</v>
      </c>
      <c r="L69" s="185">
        <v>1</v>
      </c>
      <c r="M69" s="186">
        <v>704860.25</v>
      </c>
      <c r="N69" s="186">
        <v>721000</v>
      </c>
      <c r="O69" s="125">
        <f t="shared" si="1"/>
        <v>-16139.75</v>
      </c>
      <c r="P69" s="164"/>
    </row>
    <row r="70" spans="1:17" ht="14.5" x14ac:dyDescent="0.35">
      <c r="A70" s="184" t="s">
        <v>155</v>
      </c>
      <c r="B70" s="184" t="s">
        <v>387</v>
      </c>
      <c r="C70" s="184" t="s">
        <v>167</v>
      </c>
      <c r="D70" s="185" t="s">
        <v>287</v>
      </c>
      <c r="E70" s="185">
        <v>14019</v>
      </c>
      <c r="F70" s="185" t="s">
        <v>149</v>
      </c>
      <c r="G70" s="189">
        <v>109901</v>
      </c>
      <c r="H70" s="184" t="s">
        <v>106</v>
      </c>
      <c r="I70" s="184" t="s">
        <v>294</v>
      </c>
      <c r="J70" s="184" t="s">
        <v>349</v>
      </c>
      <c r="K70" s="184" t="s">
        <v>295</v>
      </c>
      <c r="L70" s="185">
        <v>1</v>
      </c>
      <c r="M70" s="186">
        <v>17458.37</v>
      </c>
      <c r="N70" s="186">
        <v>17000</v>
      </c>
      <c r="O70" s="125">
        <f t="shared" si="1"/>
        <v>458.36999999999898</v>
      </c>
      <c r="P70" s="164"/>
    </row>
    <row r="71" spans="1:17" ht="14.5" x14ac:dyDescent="0.35">
      <c r="A71" s="184" t="s">
        <v>155</v>
      </c>
      <c r="B71" s="184" t="s">
        <v>387</v>
      </c>
      <c r="C71" s="184" t="s">
        <v>167</v>
      </c>
      <c r="D71" s="185" t="s">
        <v>287</v>
      </c>
      <c r="E71" s="185">
        <v>14020</v>
      </c>
      <c r="F71" s="185" t="s">
        <v>149</v>
      </c>
      <c r="G71" s="189">
        <v>109901</v>
      </c>
      <c r="H71" s="184" t="s">
        <v>106</v>
      </c>
      <c r="I71" s="184" t="s">
        <v>294</v>
      </c>
      <c r="J71" s="184" t="s">
        <v>347</v>
      </c>
      <c r="K71" s="184" t="s">
        <v>295</v>
      </c>
      <c r="L71" s="185">
        <v>1</v>
      </c>
      <c r="M71" s="186">
        <v>3418.85</v>
      </c>
      <c r="N71" s="186">
        <v>0</v>
      </c>
      <c r="O71" s="125">
        <f t="shared" si="1"/>
        <v>3418.85</v>
      </c>
      <c r="P71" s="164"/>
    </row>
    <row r="72" spans="1:17" ht="14.5" x14ac:dyDescent="0.35">
      <c r="A72" s="184" t="s">
        <v>155</v>
      </c>
      <c r="B72" s="184" t="s">
        <v>388</v>
      </c>
      <c r="C72" s="184" t="s">
        <v>73</v>
      </c>
      <c r="D72" s="185" t="s">
        <v>287</v>
      </c>
      <c r="E72" s="185">
        <v>14120</v>
      </c>
      <c r="F72" s="185" t="s">
        <v>149</v>
      </c>
      <c r="G72" s="184">
        <v>101001</v>
      </c>
      <c r="H72" s="184" t="s">
        <v>108</v>
      </c>
      <c r="I72" s="184" t="s">
        <v>294</v>
      </c>
      <c r="J72" s="184" t="s">
        <v>295</v>
      </c>
      <c r="K72" s="184" t="s">
        <v>295</v>
      </c>
      <c r="L72" s="185">
        <v>1</v>
      </c>
      <c r="M72" s="186">
        <v>4378452.99</v>
      </c>
      <c r="N72" s="186">
        <v>4460000</v>
      </c>
      <c r="O72" s="125">
        <f t="shared" ref="O72:O135" si="11">M72-N72</f>
        <v>-81547.009999999776</v>
      </c>
      <c r="P72" s="125"/>
      <c r="Q72" s="73">
        <f t="shared" ref="Q72:Q93" si="12">M72*$Q$7*1.141</f>
        <v>499581.48615900008</v>
      </c>
    </row>
    <row r="73" spans="1:17" ht="14.5" x14ac:dyDescent="0.35">
      <c r="A73" s="184" t="s">
        <v>155</v>
      </c>
      <c r="B73" s="184" t="s">
        <v>388</v>
      </c>
      <c r="C73" s="184" t="s">
        <v>73</v>
      </c>
      <c r="D73" s="185" t="s">
        <v>287</v>
      </c>
      <c r="E73" s="185">
        <v>14121</v>
      </c>
      <c r="F73" s="185" t="s">
        <v>149</v>
      </c>
      <c r="G73" s="184">
        <v>101002</v>
      </c>
      <c r="H73" s="184" t="s">
        <v>109</v>
      </c>
      <c r="I73" s="184" t="s">
        <v>294</v>
      </c>
      <c r="J73" s="184" t="s">
        <v>295</v>
      </c>
      <c r="K73" s="184" t="s">
        <v>295</v>
      </c>
      <c r="L73" s="185">
        <v>1</v>
      </c>
      <c r="M73" s="186">
        <v>-25202.74</v>
      </c>
      <c r="N73" s="186">
        <v>0</v>
      </c>
      <c r="O73" s="125">
        <f t="shared" si="11"/>
        <v>-25202.74</v>
      </c>
      <c r="P73" s="125"/>
      <c r="Q73" s="73">
        <f t="shared" si="12"/>
        <v>-2875.6326340000005</v>
      </c>
    </row>
    <row r="74" spans="1:17" ht="14.5" x14ac:dyDescent="0.35">
      <c r="A74" s="184" t="s">
        <v>155</v>
      </c>
      <c r="B74" s="184" t="s">
        <v>388</v>
      </c>
      <c r="C74" s="184" t="s">
        <v>73</v>
      </c>
      <c r="D74" s="185" t="s">
        <v>287</v>
      </c>
      <c r="E74" s="185">
        <v>14122</v>
      </c>
      <c r="F74" s="185" t="s">
        <v>149</v>
      </c>
      <c r="G74" s="184">
        <v>101002</v>
      </c>
      <c r="H74" s="184" t="s">
        <v>109</v>
      </c>
      <c r="I74" s="184" t="s">
        <v>294</v>
      </c>
      <c r="J74" s="184" t="s">
        <v>349</v>
      </c>
      <c r="K74" s="184" t="s">
        <v>295</v>
      </c>
      <c r="L74" s="185">
        <v>1</v>
      </c>
      <c r="M74" s="186">
        <v>0</v>
      </c>
      <c r="N74" s="186">
        <v>56000</v>
      </c>
      <c r="O74" s="125">
        <f t="shared" si="11"/>
        <v>-56000</v>
      </c>
      <c r="P74" s="125"/>
      <c r="Q74" s="73">
        <f t="shared" si="12"/>
        <v>0</v>
      </c>
    </row>
    <row r="75" spans="1:17" ht="14.5" x14ac:dyDescent="0.35">
      <c r="A75" s="184" t="s">
        <v>155</v>
      </c>
      <c r="B75" s="184" t="s">
        <v>388</v>
      </c>
      <c r="C75" s="184" t="s">
        <v>73</v>
      </c>
      <c r="D75" s="185" t="s">
        <v>287</v>
      </c>
      <c r="E75" s="185">
        <v>14123</v>
      </c>
      <c r="F75" s="185" t="s">
        <v>149</v>
      </c>
      <c r="G75" s="184">
        <v>101002</v>
      </c>
      <c r="H75" s="184" t="s">
        <v>109</v>
      </c>
      <c r="I75" s="184" t="s">
        <v>294</v>
      </c>
      <c r="J75" s="184" t="s">
        <v>385</v>
      </c>
      <c r="K75" s="184" t="s">
        <v>295</v>
      </c>
      <c r="L75" s="185">
        <v>1</v>
      </c>
      <c r="M75" s="186">
        <v>1896.5</v>
      </c>
      <c r="N75" s="186">
        <v>0</v>
      </c>
      <c r="O75" s="125">
        <f t="shared" si="11"/>
        <v>1896.5</v>
      </c>
      <c r="P75" s="125"/>
      <c r="Q75" s="73">
        <f t="shared" si="12"/>
        <v>216.39065000000002</v>
      </c>
    </row>
    <row r="76" spans="1:17" ht="14.5" x14ac:dyDescent="0.35">
      <c r="A76" s="184" t="s">
        <v>155</v>
      </c>
      <c r="B76" s="184" t="s">
        <v>388</v>
      </c>
      <c r="C76" s="184" t="s">
        <v>73</v>
      </c>
      <c r="D76" s="185" t="s">
        <v>287</v>
      </c>
      <c r="E76" s="185">
        <v>14124</v>
      </c>
      <c r="F76" s="185" t="s">
        <v>149</v>
      </c>
      <c r="G76" s="184">
        <v>101039</v>
      </c>
      <c r="H76" s="184" t="s">
        <v>111</v>
      </c>
      <c r="I76" s="184" t="s">
        <v>294</v>
      </c>
      <c r="J76" s="184" t="s">
        <v>295</v>
      </c>
      <c r="K76" s="184" t="s">
        <v>295</v>
      </c>
      <c r="L76" s="185">
        <v>1</v>
      </c>
      <c r="M76" s="186">
        <v>113220.38</v>
      </c>
      <c r="N76" s="186">
        <v>8000</v>
      </c>
      <c r="O76" s="125">
        <f t="shared" si="11"/>
        <v>105220.38</v>
      </c>
      <c r="P76" s="125"/>
      <c r="Q76" s="73">
        <f t="shared" si="12"/>
        <v>12918.445358000001</v>
      </c>
    </row>
    <row r="77" spans="1:17" ht="14.5" x14ac:dyDescent="0.35">
      <c r="A77" s="184" t="s">
        <v>155</v>
      </c>
      <c r="B77" s="184" t="s">
        <v>388</v>
      </c>
      <c r="C77" s="184" t="s">
        <v>73</v>
      </c>
      <c r="D77" s="185" t="s">
        <v>287</v>
      </c>
      <c r="E77" s="185">
        <v>14125</v>
      </c>
      <c r="F77" s="185" t="s">
        <v>149</v>
      </c>
      <c r="G77" s="184">
        <v>102002</v>
      </c>
      <c r="H77" s="184" t="s">
        <v>112</v>
      </c>
      <c r="I77" s="184" t="s">
        <v>294</v>
      </c>
      <c r="J77" s="184" t="s">
        <v>295</v>
      </c>
      <c r="K77" s="184" t="s">
        <v>295</v>
      </c>
      <c r="L77" s="185">
        <v>1</v>
      </c>
      <c r="M77" s="186">
        <v>3315.69</v>
      </c>
      <c r="N77" s="186">
        <v>0</v>
      </c>
      <c r="O77" s="125">
        <f t="shared" si="11"/>
        <v>3315.69</v>
      </c>
      <c r="P77" s="125"/>
      <c r="Q77" s="73">
        <f t="shared" si="12"/>
        <v>378.32022900000004</v>
      </c>
    </row>
    <row r="78" spans="1:17" ht="14.5" x14ac:dyDescent="0.35">
      <c r="A78" s="184" t="s">
        <v>155</v>
      </c>
      <c r="B78" s="184" t="s">
        <v>388</v>
      </c>
      <c r="C78" s="184" t="s">
        <v>73</v>
      </c>
      <c r="D78" s="185" t="s">
        <v>287</v>
      </c>
      <c r="E78" s="185">
        <v>14126</v>
      </c>
      <c r="F78" s="185" t="s">
        <v>149</v>
      </c>
      <c r="G78" s="184">
        <v>102003</v>
      </c>
      <c r="H78" s="184" t="s">
        <v>110</v>
      </c>
      <c r="I78" s="184" t="s">
        <v>294</v>
      </c>
      <c r="J78" s="184" t="s">
        <v>295</v>
      </c>
      <c r="K78" s="184" t="s">
        <v>295</v>
      </c>
      <c r="L78" s="185">
        <v>1</v>
      </c>
      <c r="M78" s="186">
        <v>139090.76</v>
      </c>
      <c r="N78" s="186">
        <v>95000</v>
      </c>
      <c r="O78" s="125">
        <f t="shared" si="11"/>
        <v>44090.760000000009</v>
      </c>
      <c r="P78" s="125"/>
      <c r="Q78" s="73">
        <f t="shared" si="12"/>
        <v>15870.255716000001</v>
      </c>
    </row>
    <row r="79" spans="1:17" ht="14.5" x14ac:dyDescent="0.35">
      <c r="A79" s="184" t="s">
        <v>155</v>
      </c>
      <c r="B79" s="184" t="s">
        <v>388</v>
      </c>
      <c r="C79" s="184" t="s">
        <v>73</v>
      </c>
      <c r="D79" s="185" t="s">
        <v>287</v>
      </c>
      <c r="E79" s="185">
        <v>14127</v>
      </c>
      <c r="F79" s="185" t="s">
        <v>149</v>
      </c>
      <c r="G79" s="184">
        <v>102003</v>
      </c>
      <c r="H79" s="184" t="s">
        <v>110</v>
      </c>
      <c r="I79" s="184" t="s">
        <v>294</v>
      </c>
      <c r="J79" s="184" t="s">
        <v>349</v>
      </c>
      <c r="K79" s="184" t="s">
        <v>295</v>
      </c>
      <c r="L79" s="185">
        <v>1</v>
      </c>
      <c r="M79" s="186">
        <v>50599.96</v>
      </c>
      <c r="N79" s="186">
        <v>0</v>
      </c>
      <c r="O79" s="125">
        <f t="shared" si="11"/>
        <v>50599.96</v>
      </c>
      <c r="P79" s="125"/>
      <c r="Q79" s="73">
        <f t="shared" si="12"/>
        <v>5773.4554360000002</v>
      </c>
    </row>
    <row r="80" spans="1:17" ht="14.5" x14ac:dyDescent="0.35">
      <c r="A80" s="184" t="s">
        <v>155</v>
      </c>
      <c r="B80" s="184" t="s">
        <v>388</v>
      </c>
      <c r="C80" s="184" t="s">
        <v>73</v>
      </c>
      <c r="D80" s="185" t="s">
        <v>287</v>
      </c>
      <c r="E80" s="185">
        <v>14128</v>
      </c>
      <c r="F80" s="185" t="s">
        <v>149</v>
      </c>
      <c r="G80" s="184">
        <v>102005</v>
      </c>
      <c r="H80" s="184" t="s">
        <v>116</v>
      </c>
      <c r="I80" s="184" t="s">
        <v>294</v>
      </c>
      <c r="J80" s="184" t="s">
        <v>295</v>
      </c>
      <c r="K80" s="184" t="s">
        <v>295</v>
      </c>
      <c r="L80" s="185">
        <v>1</v>
      </c>
      <c r="M80" s="186">
        <v>31132.05</v>
      </c>
      <c r="N80" s="186">
        <v>0</v>
      </c>
      <c r="O80" s="125">
        <f t="shared" si="11"/>
        <v>31132.05</v>
      </c>
      <c r="P80" s="125"/>
      <c r="Q80" s="73">
        <f t="shared" si="12"/>
        <v>3552.166905</v>
      </c>
    </row>
    <row r="81" spans="1:17" ht="14.5" x14ac:dyDescent="0.35">
      <c r="A81" s="184" t="s">
        <v>155</v>
      </c>
      <c r="B81" s="184" t="s">
        <v>388</v>
      </c>
      <c r="C81" s="184" t="s">
        <v>73</v>
      </c>
      <c r="D81" s="185" t="s">
        <v>287</v>
      </c>
      <c r="E81" s="185">
        <v>14129</v>
      </c>
      <c r="F81" s="185" t="s">
        <v>149</v>
      </c>
      <c r="G81" s="184">
        <v>102005</v>
      </c>
      <c r="H81" s="184" t="s">
        <v>116</v>
      </c>
      <c r="I81" s="184" t="s">
        <v>294</v>
      </c>
      <c r="J81" s="184" t="s">
        <v>349</v>
      </c>
      <c r="K81" s="184" t="s">
        <v>295</v>
      </c>
      <c r="L81" s="185">
        <v>1</v>
      </c>
      <c r="M81" s="186">
        <v>4905.6899999999996</v>
      </c>
      <c r="N81" s="186">
        <v>0</v>
      </c>
      <c r="O81" s="125">
        <f t="shared" si="11"/>
        <v>4905.6899999999996</v>
      </c>
      <c r="P81" s="125"/>
      <c r="Q81" s="73">
        <f t="shared" si="12"/>
        <v>559.73922899999991</v>
      </c>
    </row>
    <row r="82" spans="1:17" ht="14.5" x14ac:dyDescent="0.35">
      <c r="A82" s="184" t="s">
        <v>155</v>
      </c>
      <c r="B82" s="184" t="s">
        <v>388</v>
      </c>
      <c r="C82" s="184" t="s">
        <v>73</v>
      </c>
      <c r="D82" s="185" t="s">
        <v>287</v>
      </c>
      <c r="E82" s="185">
        <v>14130</v>
      </c>
      <c r="F82" s="185" t="s">
        <v>149</v>
      </c>
      <c r="G82" s="184">
        <v>102062</v>
      </c>
      <c r="H82" s="184" t="s">
        <v>117</v>
      </c>
      <c r="I82" s="184" t="s">
        <v>294</v>
      </c>
      <c r="J82" s="184" t="s">
        <v>295</v>
      </c>
      <c r="K82" s="184" t="s">
        <v>295</v>
      </c>
      <c r="L82" s="185">
        <v>1</v>
      </c>
      <c r="M82" s="186">
        <v>4921.7700000000004</v>
      </c>
      <c r="N82" s="186">
        <v>0</v>
      </c>
      <c r="O82" s="125">
        <f t="shared" si="11"/>
        <v>4921.7700000000004</v>
      </c>
      <c r="P82" s="125"/>
      <c r="Q82" s="73">
        <f t="shared" si="12"/>
        <v>561.57395700000006</v>
      </c>
    </row>
    <row r="83" spans="1:17" ht="14.5" x14ac:dyDescent="0.35">
      <c r="A83" s="184" t="s">
        <v>155</v>
      </c>
      <c r="B83" s="184" t="s">
        <v>388</v>
      </c>
      <c r="C83" s="184" t="s">
        <v>73</v>
      </c>
      <c r="D83" s="185" t="s">
        <v>287</v>
      </c>
      <c r="E83" s="185">
        <v>14131</v>
      </c>
      <c r="F83" s="185" t="s">
        <v>149</v>
      </c>
      <c r="G83" s="184">
        <v>103001</v>
      </c>
      <c r="H83" s="184" t="s">
        <v>113</v>
      </c>
      <c r="I83" s="184" t="s">
        <v>294</v>
      </c>
      <c r="J83" s="184" t="s">
        <v>295</v>
      </c>
      <c r="K83" s="184" t="s">
        <v>295</v>
      </c>
      <c r="L83" s="185">
        <v>1</v>
      </c>
      <c r="M83" s="186">
        <v>29531.87</v>
      </c>
      <c r="N83" s="186">
        <v>0</v>
      </c>
      <c r="O83" s="125">
        <f t="shared" si="11"/>
        <v>29531.87</v>
      </c>
      <c r="P83" s="125"/>
      <c r="Q83" s="73">
        <f t="shared" si="12"/>
        <v>3369.5863669999999</v>
      </c>
    </row>
    <row r="84" spans="1:17" ht="14.5" x14ac:dyDescent="0.35">
      <c r="A84" s="184" t="s">
        <v>155</v>
      </c>
      <c r="B84" s="184" t="s">
        <v>388</v>
      </c>
      <c r="C84" s="184" t="s">
        <v>73</v>
      </c>
      <c r="D84" s="185" t="s">
        <v>287</v>
      </c>
      <c r="E84" s="185">
        <v>14132</v>
      </c>
      <c r="F84" s="185" t="s">
        <v>149</v>
      </c>
      <c r="G84" s="184">
        <v>103001</v>
      </c>
      <c r="H84" s="184" t="s">
        <v>113</v>
      </c>
      <c r="I84" s="184" t="s">
        <v>294</v>
      </c>
      <c r="J84" s="184" t="s">
        <v>350</v>
      </c>
      <c r="K84" s="184" t="s">
        <v>295</v>
      </c>
      <c r="L84" s="185">
        <v>1</v>
      </c>
      <c r="M84" s="186">
        <v>0</v>
      </c>
      <c r="N84" s="186">
        <v>0</v>
      </c>
      <c r="O84" s="125">
        <f t="shared" si="11"/>
        <v>0</v>
      </c>
      <c r="P84" s="125"/>
      <c r="Q84" s="73">
        <f t="shared" si="12"/>
        <v>0</v>
      </c>
    </row>
    <row r="85" spans="1:17" ht="14.5" x14ac:dyDescent="0.35">
      <c r="A85" s="184" t="s">
        <v>155</v>
      </c>
      <c r="B85" s="184" t="s">
        <v>388</v>
      </c>
      <c r="C85" s="184" t="s">
        <v>73</v>
      </c>
      <c r="D85" s="185" t="s">
        <v>287</v>
      </c>
      <c r="E85" s="185">
        <v>14133</v>
      </c>
      <c r="F85" s="185" t="s">
        <v>149</v>
      </c>
      <c r="G85" s="184">
        <v>103001</v>
      </c>
      <c r="H85" s="184" t="s">
        <v>113</v>
      </c>
      <c r="I85" s="184" t="s">
        <v>294</v>
      </c>
      <c r="J85" s="184" t="s">
        <v>386</v>
      </c>
      <c r="K85" s="184" t="s">
        <v>295</v>
      </c>
      <c r="L85" s="185">
        <v>1</v>
      </c>
      <c r="M85" s="186">
        <v>0</v>
      </c>
      <c r="N85" s="186">
        <v>0</v>
      </c>
      <c r="O85" s="125">
        <f t="shared" si="11"/>
        <v>0</v>
      </c>
      <c r="P85" s="125"/>
      <c r="Q85" s="73">
        <f t="shared" si="12"/>
        <v>0</v>
      </c>
    </row>
    <row r="86" spans="1:17" ht="14.5" x14ac:dyDescent="0.35">
      <c r="A86" s="184" t="s">
        <v>155</v>
      </c>
      <c r="B86" s="184" t="s">
        <v>388</v>
      </c>
      <c r="C86" s="184" t="s">
        <v>73</v>
      </c>
      <c r="D86" s="185" t="s">
        <v>287</v>
      </c>
      <c r="E86" s="185">
        <v>14134</v>
      </c>
      <c r="F86" s="185" t="s">
        <v>149</v>
      </c>
      <c r="G86" s="184">
        <v>103001</v>
      </c>
      <c r="H86" s="184" t="s">
        <v>113</v>
      </c>
      <c r="I86" s="184" t="s">
        <v>294</v>
      </c>
      <c r="J86" s="184" t="s">
        <v>347</v>
      </c>
      <c r="K86" s="184" t="s">
        <v>295</v>
      </c>
      <c r="L86" s="185">
        <v>1</v>
      </c>
      <c r="M86" s="186">
        <v>75.84</v>
      </c>
      <c r="N86" s="186">
        <v>0</v>
      </c>
      <c r="O86" s="125">
        <f t="shared" si="11"/>
        <v>75.84</v>
      </c>
      <c r="P86" s="125"/>
      <c r="Q86" s="73">
        <f t="shared" si="12"/>
        <v>8.6533440000000006</v>
      </c>
    </row>
    <row r="87" spans="1:17" ht="14.5" x14ac:dyDescent="0.35">
      <c r="A87" s="184" t="s">
        <v>155</v>
      </c>
      <c r="B87" s="184" t="s">
        <v>388</v>
      </c>
      <c r="C87" s="184" t="s">
        <v>73</v>
      </c>
      <c r="D87" s="185" t="s">
        <v>287</v>
      </c>
      <c r="E87" s="185">
        <v>14135</v>
      </c>
      <c r="F87" s="185" t="s">
        <v>149</v>
      </c>
      <c r="G87" s="184">
        <v>103062</v>
      </c>
      <c r="H87" s="184" t="s">
        <v>118</v>
      </c>
      <c r="I87" s="184" t="s">
        <v>294</v>
      </c>
      <c r="J87" s="184" t="s">
        <v>295</v>
      </c>
      <c r="K87" s="184" t="s">
        <v>295</v>
      </c>
      <c r="L87" s="185">
        <v>1</v>
      </c>
      <c r="M87" s="186">
        <v>336</v>
      </c>
      <c r="N87" s="186">
        <v>0</v>
      </c>
      <c r="O87" s="125">
        <f t="shared" si="11"/>
        <v>336</v>
      </c>
      <c r="P87" s="125"/>
      <c r="Q87" s="73">
        <f t="shared" si="12"/>
        <v>38.337600000000002</v>
      </c>
    </row>
    <row r="88" spans="1:17" ht="14.5" x14ac:dyDescent="0.35">
      <c r="A88" s="184" t="s">
        <v>155</v>
      </c>
      <c r="B88" s="184" t="s">
        <v>388</v>
      </c>
      <c r="C88" s="184" t="s">
        <v>73</v>
      </c>
      <c r="D88" s="185" t="s">
        <v>287</v>
      </c>
      <c r="E88" s="185">
        <v>14136</v>
      </c>
      <c r="F88" s="185" t="s">
        <v>149</v>
      </c>
      <c r="G88" s="184">
        <v>103069</v>
      </c>
      <c r="H88" s="184" t="s">
        <v>225</v>
      </c>
      <c r="I88" s="184" t="s">
        <v>294</v>
      </c>
      <c r="J88" s="184" t="s">
        <v>295</v>
      </c>
      <c r="K88" s="184" t="s">
        <v>295</v>
      </c>
      <c r="L88" s="185">
        <v>1</v>
      </c>
      <c r="M88" s="186">
        <v>12460.64</v>
      </c>
      <c r="N88" s="186">
        <v>0</v>
      </c>
      <c r="O88" s="125">
        <f t="shared" si="11"/>
        <v>12460.64</v>
      </c>
      <c r="P88" s="125"/>
      <c r="Q88" s="73">
        <f t="shared" si="12"/>
        <v>1421.7590240000002</v>
      </c>
    </row>
    <row r="89" spans="1:17" ht="14.5" x14ac:dyDescent="0.35">
      <c r="A89" s="184" t="s">
        <v>155</v>
      </c>
      <c r="B89" s="184" t="s">
        <v>388</v>
      </c>
      <c r="C89" s="184" t="s">
        <v>73</v>
      </c>
      <c r="D89" s="185" t="s">
        <v>287</v>
      </c>
      <c r="E89" s="185">
        <v>14137</v>
      </c>
      <c r="F89" s="185" t="s">
        <v>149</v>
      </c>
      <c r="G89" s="184">
        <v>104000</v>
      </c>
      <c r="H89" s="184" t="s">
        <v>114</v>
      </c>
      <c r="I89" s="184" t="s">
        <v>294</v>
      </c>
      <c r="J89" s="184" t="s">
        <v>295</v>
      </c>
      <c r="K89" s="184" t="s">
        <v>295</v>
      </c>
      <c r="L89" s="185">
        <v>1</v>
      </c>
      <c r="M89" s="186">
        <v>32885.81</v>
      </c>
      <c r="N89" s="186">
        <v>37000</v>
      </c>
      <c r="O89" s="125">
        <f t="shared" si="11"/>
        <v>-4114.1900000000023</v>
      </c>
      <c r="P89" s="125"/>
      <c r="Q89" s="73">
        <f t="shared" si="12"/>
        <v>3752.2709210000003</v>
      </c>
    </row>
    <row r="90" spans="1:17" ht="14.5" x14ac:dyDescent="0.35">
      <c r="A90" s="184" t="s">
        <v>155</v>
      </c>
      <c r="B90" s="184" t="s">
        <v>388</v>
      </c>
      <c r="C90" s="184" t="s">
        <v>73</v>
      </c>
      <c r="D90" s="185" t="s">
        <v>287</v>
      </c>
      <c r="E90" s="185">
        <v>14138</v>
      </c>
      <c r="F90" s="185" t="s">
        <v>149</v>
      </c>
      <c r="G90" s="184">
        <v>104000</v>
      </c>
      <c r="H90" s="184" t="s">
        <v>114</v>
      </c>
      <c r="I90" s="184" t="s">
        <v>294</v>
      </c>
      <c r="J90" s="184" t="s">
        <v>349</v>
      </c>
      <c r="K90" s="184" t="s">
        <v>295</v>
      </c>
      <c r="L90" s="185">
        <v>1</v>
      </c>
      <c r="M90" s="186">
        <v>48375.23</v>
      </c>
      <c r="N90" s="186">
        <v>48000</v>
      </c>
      <c r="O90" s="125">
        <f t="shared" si="11"/>
        <v>375.2300000000032</v>
      </c>
      <c r="P90" s="125"/>
      <c r="Q90" s="73">
        <f t="shared" si="12"/>
        <v>5519.6137429999999</v>
      </c>
    </row>
    <row r="91" spans="1:17" ht="14.5" x14ac:dyDescent="0.35">
      <c r="A91" s="184" t="s">
        <v>155</v>
      </c>
      <c r="B91" s="184" t="s">
        <v>388</v>
      </c>
      <c r="C91" s="184" t="s">
        <v>73</v>
      </c>
      <c r="D91" s="185" t="s">
        <v>287</v>
      </c>
      <c r="E91" s="185">
        <v>14139</v>
      </c>
      <c r="F91" s="185" t="s">
        <v>149</v>
      </c>
      <c r="G91" s="184">
        <v>105003</v>
      </c>
      <c r="H91" s="184" t="s">
        <v>317</v>
      </c>
      <c r="I91" s="184" t="s">
        <v>294</v>
      </c>
      <c r="J91" s="184" t="s">
        <v>295</v>
      </c>
      <c r="K91" s="184" t="s">
        <v>295</v>
      </c>
      <c r="L91" s="185">
        <v>1</v>
      </c>
      <c r="M91" s="186">
        <v>101404.52</v>
      </c>
      <c r="N91" s="186">
        <v>0</v>
      </c>
      <c r="O91" s="125">
        <f t="shared" si="11"/>
        <v>101404.52</v>
      </c>
      <c r="P91" s="125"/>
      <c r="Q91" s="73">
        <f t="shared" si="12"/>
        <v>11570.255732000001</v>
      </c>
    </row>
    <row r="92" spans="1:17" ht="14.5" x14ac:dyDescent="0.35">
      <c r="A92" s="184" t="s">
        <v>155</v>
      </c>
      <c r="B92" s="184" t="s">
        <v>388</v>
      </c>
      <c r="C92" s="184" t="s">
        <v>73</v>
      </c>
      <c r="D92" s="185" t="s">
        <v>287</v>
      </c>
      <c r="E92" s="185">
        <v>14140</v>
      </c>
      <c r="F92" s="185" t="s">
        <v>149</v>
      </c>
      <c r="G92" s="184">
        <v>105010</v>
      </c>
      <c r="H92" s="184" t="s">
        <v>124</v>
      </c>
      <c r="I92" s="184" t="s">
        <v>294</v>
      </c>
      <c r="J92" s="184" t="s">
        <v>295</v>
      </c>
      <c r="K92" s="184" t="s">
        <v>295</v>
      </c>
      <c r="L92" s="185">
        <v>1</v>
      </c>
      <c r="M92" s="186">
        <v>63.22</v>
      </c>
      <c r="N92" s="186">
        <v>0</v>
      </c>
      <c r="O92" s="125">
        <f t="shared" si="11"/>
        <v>63.22</v>
      </c>
      <c r="P92" s="125"/>
      <c r="Q92" s="73">
        <f t="shared" si="12"/>
        <v>7.2134020000000003</v>
      </c>
    </row>
    <row r="93" spans="1:17" ht="14.5" x14ac:dyDescent="0.35">
      <c r="A93" s="184" t="s">
        <v>155</v>
      </c>
      <c r="B93" s="184" t="s">
        <v>388</v>
      </c>
      <c r="C93" s="184" t="s">
        <v>73</v>
      </c>
      <c r="D93" s="185" t="s">
        <v>287</v>
      </c>
      <c r="E93" s="185">
        <v>14141</v>
      </c>
      <c r="F93" s="185" t="s">
        <v>149</v>
      </c>
      <c r="G93" s="184">
        <v>105019</v>
      </c>
      <c r="H93" s="184" t="s">
        <v>115</v>
      </c>
      <c r="I93" s="184" t="s">
        <v>294</v>
      </c>
      <c r="J93" s="184" t="s">
        <v>295</v>
      </c>
      <c r="K93" s="184" t="s">
        <v>295</v>
      </c>
      <c r="L93" s="185">
        <v>1</v>
      </c>
      <c r="M93" s="186">
        <v>37.15</v>
      </c>
      <c r="N93" s="186">
        <v>0</v>
      </c>
      <c r="O93" s="125">
        <f t="shared" si="11"/>
        <v>37.15</v>
      </c>
      <c r="P93" s="125"/>
      <c r="Q93" s="73">
        <f t="shared" si="12"/>
        <v>4.2388149999999998</v>
      </c>
    </row>
    <row r="94" spans="1:17" ht="14.5" x14ac:dyDescent="0.35">
      <c r="A94" s="184" t="s">
        <v>155</v>
      </c>
      <c r="B94" s="184" t="s">
        <v>388</v>
      </c>
      <c r="C94" s="184" t="s">
        <v>73</v>
      </c>
      <c r="D94" s="185" t="s">
        <v>287</v>
      </c>
      <c r="E94" s="185">
        <v>14142</v>
      </c>
      <c r="F94" s="185" t="s">
        <v>149</v>
      </c>
      <c r="G94" s="189">
        <v>109001</v>
      </c>
      <c r="H94" s="184" t="s">
        <v>105</v>
      </c>
      <c r="I94" s="184" t="s">
        <v>294</v>
      </c>
      <c r="J94" s="184" t="s">
        <v>295</v>
      </c>
      <c r="K94" s="184" t="s">
        <v>295</v>
      </c>
      <c r="L94" s="185">
        <v>1</v>
      </c>
      <c r="M94" s="186">
        <v>476286.73</v>
      </c>
      <c r="N94" s="186">
        <v>460000</v>
      </c>
      <c r="O94" s="125">
        <f t="shared" si="11"/>
        <v>16286.729999999981</v>
      </c>
      <c r="P94" s="164">
        <f t="shared" ref="P94:P99" si="13">M94*-1</f>
        <v>-476286.73</v>
      </c>
    </row>
    <row r="95" spans="1:17" ht="14.5" x14ac:dyDescent="0.35">
      <c r="A95" s="184" t="s">
        <v>155</v>
      </c>
      <c r="B95" s="184" t="s">
        <v>388</v>
      </c>
      <c r="C95" s="184" t="s">
        <v>73</v>
      </c>
      <c r="D95" s="185" t="s">
        <v>287</v>
      </c>
      <c r="E95" s="185">
        <v>14143</v>
      </c>
      <c r="F95" s="185" t="s">
        <v>149</v>
      </c>
      <c r="G95" s="189">
        <v>109001</v>
      </c>
      <c r="H95" s="184" t="s">
        <v>105</v>
      </c>
      <c r="I95" s="184" t="s">
        <v>294</v>
      </c>
      <c r="J95" s="184" t="s">
        <v>349</v>
      </c>
      <c r="K95" s="184" t="s">
        <v>295</v>
      </c>
      <c r="L95" s="185">
        <v>1</v>
      </c>
      <c r="M95" s="186">
        <v>5589.45</v>
      </c>
      <c r="N95" s="186">
        <v>6000</v>
      </c>
      <c r="O95" s="125">
        <f t="shared" si="11"/>
        <v>-410.55000000000018</v>
      </c>
      <c r="P95" s="164">
        <f t="shared" si="13"/>
        <v>-5589.45</v>
      </c>
    </row>
    <row r="96" spans="1:17" ht="14.5" x14ac:dyDescent="0.35">
      <c r="A96" s="184" t="s">
        <v>155</v>
      </c>
      <c r="B96" s="184" t="s">
        <v>388</v>
      </c>
      <c r="C96" s="184" t="s">
        <v>73</v>
      </c>
      <c r="D96" s="185" t="s">
        <v>287</v>
      </c>
      <c r="E96" s="185">
        <v>14144</v>
      </c>
      <c r="F96" s="185" t="s">
        <v>149</v>
      </c>
      <c r="G96" s="189">
        <v>109001</v>
      </c>
      <c r="H96" s="184" t="s">
        <v>105</v>
      </c>
      <c r="I96" s="184" t="s">
        <v>294</v>
      </c>
      <c r="J96" s="184" t="s">
        <v>350</v>
      </c>
      <c r="K96" s="184" t="s">
        <v>295</v>
      </c>
      <c r="L96" s="185">
        <v>1</v>
      </c>
      <c r="M96" s="186">
        <v>0</v>
      </c>
      <c r="N96" s="186">
        <v>0</v>
      </c>
      <c r="O96" s="125">
        <f t="shared" si="11"/>
        <v>0</v>
      </c>
      <c r="P96" s="164">
        <f t="shared" si="13"/>
        <v>0</v>
      </c>
    </row>
    <row r="97" spans="1:17" ht="14.5" x14ac:dyDescent="0.35">
      <c r="A97" s="184" t="s">
        <v>155</v>
      </c>
      <c r="B97" s="184" t="s">
        <v>388</v>
      </c>
      <c r="C97" s="184" t="s">
        <v>73</v>
      </c>
      <c r="D97" s="185" t="s">
        <v>287</v>
      </c>
      <c r="E97" s="185">
        <v>14145</v>
      </c>
      <c r="F97" s="185" t="s">
        <v>149</v>
      </c>
      <c r="G97" s="189">
        <v>109001</v>
      </c>
      <c r="H97" s="184" t="s">
        <v>105</v>
      </c>
      <c r="I97" s="184" t="s">
        <v>294</v>
      </c>
      <c r="J97" s="184" t="s">
        <v>386</v>
      </c>
      <c r="K97" s="184" t="s">
        <v>295</v>
      </c>
      <c r="L97" s="185">
        <v>1</v>
      </c>
      <c r="M97" s="186">
        <v>0</v>
      </c>
      <c r="N97" s="186">
        <v>0</v>
      </c>
      <c r="O97" s="125">
        <f t="shared" si="11"/>
        <v>0</v>
      </c>
      <c r="P97" s="164">
        <f t="shared" si="13"/>
        <v>0</v>
      </c>
    </row>
    <row r="98" spans="1:17" ht="14.5" x14ac:dyDescent="0.35">
      <c r="A98" s="184" t="s">
        <v>155</v>
      </c>
      <c r="B98" s="184" t="s">
        <v>388</v>
      </c>
      <c r="C98" s="184" t="s">
        <v>73</v>
      </c>
      <c r="D98" s="185" t="s">
        <v>287</v>
      </c>
      <c r="E98" s="185">
        <v>14146</v>
      </c>
      <c r="F98" s="185" t="s">
        <v>149</v>
      </c>
      <c r="G98" s="189">
        <v>109001</v>
      </c>
      <c r="H98" s="184" t="s">
        <v>105</v>
      </c>
      <c r="I98" s="184" t="s">
        <v>294</v>
      </c>
      <c r="J98" s="184" t="s">
        <v>347</v>
      </c>
      <c r="K98" s="184" t="s">
        <v>295</v>
      </c>
      <c r="L98" s="185">
        <v>1</v>
      </c>
      <c r="M98" s="186">
        <v>0</v>
      </c>
      <c r="N98" s="186">
        <v>0</v>
      </c>
      <c r="O98" s="125">
        <f t="shared" si="11"/>
        <v>0</v>
      </c>
      <c r="P98" s="164">
        <f t="shared" si="13"/>
        <v>0</v>
      </c>
    </row>
    <row r="99" spans="1:17" ht="14.5" x14ac:dyDescent="0.35">
      <c r="A99" s="184" t="s">
        <v>155</v>
      </c>
      <c r="B99" s="184" t="s">
        <v>388</v>
      </c>
      <c r="C99" s="184" t="s">
        <v>73</v>
      </c>
      <c r="D99" s="185" t="s">
        <v>287</v>
      </c>
      <c r="E99" s="185">
        <v>14147</v>
      </c>
      <c r="F99" s="185" t="s">
        <v>149</v>
      </c>
      <c r="G99" s="189">
        <v>109001</v>
      </c>
      <c r="H99" s="184" t="s">
        <v>105</v>
      </c>
      <c r="I99" s="184" t="s">
        <v>294</v>
      </c>
      <c r="J99" s="184" t="s">
        <v>385</v>
      </c>
      <c r="K99" s="184" t="s">
        <v>295</v>
      </c>
      <c r="L99" s="185">
        <v>1</v>
      </c>
      <c r="M99" s="186">
        <v>191.89</v>
      </c>
      <c r="N99" s="186">
        <v>0</v>
      </c>
      <c r="O99" s="125">
        <f t="shared" si="11"/>
        <v>191.89</v>
      </c>
      <c r="P99" s="164">
        <f t="shared" si="13"/>
        <v>-191.89</v>
      </c>
    </row>
    <row r="100" spans="1:17" ht="14.5" x14ac:dyDescent="0.35">
      <c r="A100" s="184" t="s">
        <v>155</v>
      </c>
      <c r="B100" s="184" t="s">
        <v>388</v>
      </c>
      <c r="C100" s="184" t="s">
        <v>73</v>
      </c>
      <c r="D100" s="185" t="s">
        <v>287</v>
      </c>
      <c r="E100" s="185">
        <v>14148</v>
      </c>
      <c r="F100" s="185" t="s">
        <v>149</v>
      </c>
      <c r="G100" s="189">
        <v>109901</v>
      </c>
      <c r="H100" s="184" t="s">
        <v>106</v>
      </c>
      <c r="I100" s="184" t="s">
        <v>294</v>
      </c>
      <c r="J100" s="184" t="s">
        <v>295</v>
      </c>
      <c r="K100" s="184" t="s">
        <v>295</v>
      </c>
      <c r="L100" s="185">
        <v>1</v>
      </c>
      <c r="M100" s="186">
        <v>724464.65</v>
      </c>
      <c r="N100" s="186">
        <v>714000</v>
      </c>
      <c r="O100" s="125">
        <f t="shared" si="11"/>
        <v>10464.650000000023</v>
      </c>
      <c r="P100" s="164"/>
    </row>
    <row r="101" spans="1:17" ht="14.5" x14ac:dyDescent="0.35">
      <c r="A101" s="184" t="s">
        <v>155</v>
      </c>
      <c r="B101" s="184" t="s">
        <v>388</v>
      </c>
      <c r="C101" s="184" t="s">
        <v>73</v>
      </c>
      <c r="D101" s="185" t="s">
        <v>287</v>
      </c>
      <c r="E101" s="185">
        <v>14149</v>
      </c>
      <c r="F101" s="185" t="s">
        <v>149</v>
      </c>
      <c r="G101" s="189">
        <v>109901</v>
      </c>
      <c r="H101" s="184" t="s">
        <v>106</v>
      </c>
      <c r="I101" s="184" t="s">
        <v>294</v>
      </c>
      <c r="J101" s="184" t="s">
        <v>349</v>
      </c>
      <c r="K101" s="184" t="s">
        <v>295</v>
      </c>
      <c r="L101" s="185">
        <v>1</v>
      </c>
      <c r="M101" s="186">
        <v>15435.26</v>
      </c>
      <c r="N101" s="186">
        <v>15000</v>
      </c>
      <c r="O101" s="125">
        <f t="shared" si="11"/>
        <v>435.26000000000022</v>
      </c>
      <c r="P101" s="125"/>
    </row>
    <row r="102" spans="1:17" ht="14.5" x14ac:dyDescent="0.35">
      <c r="A102" s="184" t="s">
        <v>155</v>
      </c>
      <c r="B102" s="184" t="s">
        <v>388</v>
      </c>
      <c r="C102" s="184" t="s">
        <v>73</v>
      </c>
      <c r="D102" s="185" t="s">
        <v>287</v>
      </c>
      <c r="E102" s="185">
        <v>14150</v>
      </c>
      <c r="F102" s="185" t="s">
        <v>149</v>
      </c>
      <c r="G102" s="189">
        <v>109901</v>
      </c>
      <c r="H102" s="184" t="s">
        <v>106</v>
      </c>
      <c r="I102" s="184" t="s">
        <v>294</v>
      </c>
      <c r="J102" s="184" t="s">
        <v>350</v>
      </c>
      <c r="K102" s="184" t="s">
        <v>295</v>
      </c>
      <c r="L102" s="185">
        <v>1</v>
      </c>
      <c r="M102" s="186">
        <v>0</v>
      </c>
      <c r="N102" s="186">
        <v>0</v>
      </c>
      <c r="O102" s="125">
        <f t="shared" si="11"/>
        <v>0</v>
      </c>
      <c r="P102" s="125"/>
    </row>
    <row r="103" spans="1:17" ht="14.5" x14ac:dyDescent="0.35">
      <c r="A103" s="184" t="s">
        <v>155</v>
      </c>
      <c r="B103" s="184" t="s">
        <v>388</v>
      </c>
      <c r="C103" s="184" t="s">
        <v>73</v>
      </c>
      <c r="D103" s="185" t="s">
        <v>287</v>
      </c>
      <c r="E103" s="185">
        <v>14151</v>
      </c>
      <c r="F103" s="185" t="s">
        <v>149</v>
      </c>
      <c r="G103" s="189">
        <v>109901</v>
      </c>
      <c r="H103" s="184" t="s">
        <v>106</v>
      </c>
      <c r="I103" s="184" t="s">
        <v>294</v>
      </c>
      <c r="J103" s="184" t="s">
        <v>386</v>
      </c>
      <c r="K103" s="184" t="s">
        <v>295</v>
      </c>
      <c r="L103" s="185">
        <v>1</v>
      </c>
      <c r="M103" s="186">
        <v>0</v>
      </c>
      <c r="N103" s="186">
        <v>0</v>
      </c>
      <c r="O103" s="125">
        <f t="shared" si="11"/>
        <v>0</v>
      </c>
      <c r="P103" s="125"/>
    </row>
    <row r="104" spans="1:17" ht="14.5" x14ac:dyDescent="0.35">
      <c r="A104" s="184" t="s">
        <v>155</v>
      </c>
      <c r="B104" s="184" t="s">
        <v>388</v>
      </c>
      <c r="C104" s="184" t="s">
        <v>73</v>
      </c>
      <c r="D104" s="185" t="s">
        <v>287</v>
      </c>
      <c r="E104" s="185">
        <v>14152</v>
      </c>
      <c r="F104" s="185" t="s">
        <v>149</v>
      </c>
      <c r="G104" s="189">
        <v>109901</v>
      </c>
      <c r="H104" s="184" t="s">
        <v>106</v>
      </c>
      <c r="I104" s="184" t="s">
        <v>294</v>
      </c>
      <c r="J104" s="184" t="s">
        <v>347</v>
      </c>
      <c r="K104" s="184" t="s">
        <v>295</v>
      </c>
      <c r="L104" s="185">
        <v>1</v>
      </c>
      <c r="M104" s="186">
        <v>10.7</v>
      </c>
      <c r="N104" s="186">
        <v>0</v>
      </c>
      <c r="O104" s="125">
        <f t="shared" si="11"/>
        <v>10.7</v>
      </c>
      <c r="P104" s="125"/>
    </row>
    <row r="105" spans="1:17" ht="14.5" x14ac:dyDescent="0.35">
      <c r="A105" s="184" t="s">
        <v>155</v>
      </c>
      <c r="B105" s="184" t="s">
        <v>388</v>
      </c>
      <c r="C105" s="184" t="s">
        <v>73</v>
      </c>
      <c r="D105" s="185" t="s">
        <v>287</v>
      </c>
      <c r="E105" s="185">
        <v>14153</v>
      </c>
      <c r="F105" s="185" t="s">
        <v>149</v>
      </c>
      <c r="G105" s="189">
        <v>109901</v>
      </c>
      <c r="H105" s="184" t="s">
        <v>106</v>
      </c>
      <c r="I105" s="184" t="s">
        <v>294</v>
      </c>
      <c r="J105" s="184" t="s">
        <v>385</v>
      </c>
      <c r="K105" s="184" t="s">
        <v>295</v>
      </c>
      <c r="L105" s="185">
        <v>1</v>
      </c>
      <c r="M105" s="186">
        <v>294.45</v>
      </c>
      <c r="N105" s="186">
        <v>0</v>
      </c>
      <c r="O105" s="125">
        <f t="shared" si="11"/>
        <v>294.45</v>
      </c>
      <c r="P105" s="125"/>
    </row>
    <row r="106" spans="1:17" ht="14.5" x14ac:dyDescent="0.35">
      <c r="A106" s="184" t="s">
        <v>155</v>
      </c>
      <c r="B106" s="184" t="s">
        <v>389</v>
      </c>
      <c r="C106" s="184" t="s">
        <v>168</v>
      </c>
      <c r="D106" s="185" t="s">
        <v>287</v>
      </c>
      <c r="E106" s="185">
        <v>14219</v>
      </c>
      <c r="F106" s="185" t="s">
        <v>149</v>
      </c>
      <c r="G106" s="184">
        <v>101001</v>
      </c>
      <c r="H106" s="184" t="s">
        <v>108</v>
      </c>
      <c r="I106" s="184" t="s">
        <v>294</v>
      </c>
      <c r="J106" s="184" t="s">
        <v>295</v>
      </c>
      <c r="K106" s="184" t="s">
        <v>295</v>
      </c>
      <c r="L106" s="185">
        <v>1</v>
      </c>
      <c r="M106" s="186">
        <v>4647703.91</v>
      </c>
      <c r="N106" s="186">
        <v>4885000</v>
      </c>
      <c r="O106" s="125">
        <f t="shared" si="11"/>
        <v>-237296.08999999985</v>
      </c>
      <c r="P106" s="125"/>
      <c r="Q106" s="73">
        <f t="shared" ref="Q106:Q131" si="14">M106*$Q$7*1.141</f>
        <v>530303.01613100013</v>
      </c>
    </row>
    <row r="107" spans="1:17" ht="14.5" x14ac:dyDescent="0.35">
      <c r="A107" s="184" t="s">
        <v>155</v>
      </c>
      <c r="B107" s="184" t="s">
        <v>389</v>
      </c>
      <c r="C107" s="184" t="s">
        <v>168</v>
      </c>
      <c r="D107" s="185" t="s">
        <v>287</v>
      </c>
      <c r="E107" s="185">
        <v>14220</v>
      </c>
      <c r="F107" s="185" t="s">
        <v>149</v>
      </c>
      <c r="G107" s="184">
        <v>101001</v>
      </c>
      <c r="H107" s="184" t="s">
        <v>108</v>
      </c>
      <c r="I107" s="184" t="s">
        <v>294</v>
      </c>
      <c r="J107" s="184" t="s">
        <v>390</v>
      </c>
      <c r="K107" s="184" t="s">
        <v>295</v>
      </c>
      <c r="L107" s="185">
        <v>1</v>
      </c>
      <c r="M107" s="186">
        <v>0</v>
      </c>
      <c r="N107" s="186">
        <v>4000</v>
      </c>
      <c r="O107" s="125">
        <f t="shared" si="11"/>
        <v>-4000</v>
      </c>
      <c r="P107" s="125"/>
      <c r="Q107" s="73">
        <f t="shared" si="14"/>
        <v>0</v>
      </c>
    </row>
    <row r="108" spans="1:17" ht="14.5" x14ac:dyDescent="0.35">
      <c r="A108" s="184" t="s">
        <v>155</v>
      </c>
      <c r="B108" s="184" t="s">
        <v>389</v>
      </c>
      <c r="C108" s="184" t="s">
        <v>168</v>
      </c>
      <c r="D108" s="185" t="s">
        <v>287</v>
      </c>
      <c r="E108" s="185">
        <v>14221</v>
      </c>
      <c r="F108" s="185" t="s">
        <v>149</v>
      </c>
      <c r="G108" s="184">
        <v>101002</v>
      </c>
      <c r="H108" s="184" t="s">
        <v>109</v>
      </c>
      <c r="I108" s="184" t="s">
        <v>294</v>
      </c>
      <c r="J108" s="184" t="s">
        <v>295</v>
      </c>
      <c r="K108" s="184" t="s">
        <v>295</v>
      </c>
      <c r="L108" s="185">
        <v>1</v>
      </c>
      <c r="M108" s="186">
        <v>3086.5</v>
      </c>
      <c r="N108" s="186">
        <v>0</v>
      </c>
      <c r="O108" s="125">
        <f t="shared" si="11"/>
        <v>3086.5</v>
      </c>
      <c r="P108" s="125"/>
      <c r="Q108" s="73">
        <f t="shared" si="14"/>
        <v>352.16965000000005</v>
      </c>
    </row>
    <row r="109" spans="1:17" ht="14.5" x14ac:dyDescent="0.35">
      <c r="A109" s="184" t="s">
        <v>155</v>
      </c>
      <c r="B109" s="184" t="s">
        <v>389</v>
      </c>
      <c r="C109" s="184" t="s">
        <v>168</v>
      </c>
      <c r="D109" s="185" t="s">
        <v>287</v>
      </c>
      <c r="E109" s="185">
        <v>14222</v>
      </c>
      <c r="F109" s="185" t="s">
        <v>149</v>
      </c>
      <c r="G109" s="184">
        <v>101002</v>
      </c>
      <c r="H109" s="184" t="s">
        <v>109</v>
      </c>
      <c r="I109" s="184" t="s">
        <v>294</v>
      </c>
      <c r="J109" s="184" t="s">
        <v>349</v>
      </c>
      <c r="K109" s="184" t="s">
        <v>295</v>
      </c>
      <c r="L109" s="185">
        <v>1</v>
      </c>
      <c r="M109" s="186">
        <v>0</v>
      </c>
      <c r="N109" s="186">
        <v>277000</v>
      </c>
      <c r="O109" s="125">
        <f t="shared" si="11"/>
        <v>-277000</v>
      </c>
      <c r="P109" s="125"/>
      <c r="Q109" s="73">
        <f t="shared" si="14"/>
        <v>0</v>
      </c>
    </row>
    <row r="110" spans="1:17" ht="14.5" x14ac:dyDescent="0.35">
      <c r="A110" s="184" t="s">
        <v>155</v>
      </c>
      <c r="B110" s="184" t="s">
        <v>389</v>
      </c>
      <c r="C110" s="184" t="s">
        <v>168</v>
      </c>
      <c r="D110" s="185" t="s">
        <v>287</v>
      </c>
      <c r="E110" s="185">
        <v>14223</v>
      </c>
      <c r="F110" s="185" t="s">
        <v>149</v>
      </c>
      <c r="G110" s="184">
        <v>101002</v>
      </c>
      <c r="H110" s="184" t="s">
        <v>109</v>
      </c>
      <c r="I110" s="184" t="s">
        <v>294</v>
      </c>
      <c r="J110" s="184" t="s">
        <v>347</v>
      </c>
      <c r="K110" s="184" t="s">
        <v>295</v>
      </c>
      <c r="L110" s="185">
        <v>1</v>
      </c>
      <c r="M110" s="186">
        <v>9676.15</v>
      </c>
      <c r="N110" s="186">
        <v>0</v>
      </c>
      <c r="O110" s="125">
        <f t="shared" si="11"/>
        <v>9676.15</v>
      </c>
      <c r="P110" s="125"/>
      <c r="Q110" s="73">
        <f t="shared" si="14"/>
        <v>1104.0487150000001</v>
      </c>
    </row>
    <row r="111" spans="1:17" ht="14.5" x14ac:dyDescent="0.35">
      <c r="A111" s="184" t="s">
        <v>155</v>
      </c>
      <c r="B111" s="184" t="s">
        <v>389</v>
      </c>
      <c r="C111" s="184" t="s">
        <v>168</v>
      </c>
      <c r="D111" s="185" t="s">
        <v>287</v>
      </c>
      <c r="E111" s="185">
        <v>14224</v>
      </c>
      <c r="F111" s="185" t="s">
        <v>149</v>
      </c>
      <c r="G111" s="184">
        <v>101039</v>
      </c>
      <c r="H111" s="184" t="s">
        <v>111</v>
      </c>
      <c r="I111" s="184" t="s">
        <v>294</v>
      </c>
      <c r="J111" s="184" t="s">
        <v>295</v>
      </c>
      <c r="K111" s="184" t="s">
        <v>295</v>
      </c>
      <c r="L111" s="185">
        <v>1</v>
      </c>
      <c r="M111" s="186">
        <v>174506.77</v>
      </c>
      <c r="N111" s="186">
        <v>5000</v>
      </c>
      <c r="O111" s="125">
        <f t="shared" si="11"/>
        <v>169506.77</v>
      </c>
      <c r="P111" s="125"/>
      <c r="Q111" s="73">
        <f t="shared" si="14"/>
        <v>19911.222457</v>
      </c>
    </row>
    <row r="112" spans="1:17" ht="14.5" x14ac:dyDescent="0.35">
      <c r="A112" s="184" t="s">
        <v>155</v>
      </c>
      <c r="B112" s="184" t="s">
        <v>389</v>
      </c>
      <c r="C112" s="184" t="s">
        <v>168</v>
      </c>
      <c r="D112" s="185" t="s">
        <v>287</v>
      </c>
      <c r="E112" s="185">
        <v>14225</v>
      </c>
      <c r="F112" s="185" t="s">
        <v>149</v>
      </c>
      <c r="G112" s="184">
        <v>102002</v>
      </c>
      <c r="H112" s="184" t="s">
        <v>112</v>
      </c>
      <c r="I112" s="184" t="s">
        <v>294</v>
      </c>
      <c r="J112" s="184" t="s">
        <v>295</v>
      </c>
      <c r="K112" s="184" t="s">
        <v>295</v>
      </c>
      <c r="L112" s="185">
        <v>1</v>
      </c>
      <c r="M112" s="186">
        <v>161541.87</v>
      </c>
      <c r="N112" s="186">
        <v>0</v>
      </c>
      <c r="O112" s="125">
        <f t="shared" si="11"/>
        <v>161541.87</v>
      </c>
      <c r="P112" s="125"/>
      <c r="Q112" s="73">
        <f t="shared" si="14"/>
        <v>18431.927367</v>
      </c>
    </row>
    <row r="113" spans="1:17" ht="14.5" x14ac:dyDescent="0.35">
      <c r="A113" s="184" t="s">
        <v>155</v>
      </c>
      <c r="B113" s="184" t="s">
        <v>389</v>
      </c>
      <c r="C113" s="184" t="s">
        <v>168</v>
      </c>
      <c r="D113" s="185" t="s">
        <v>287</v>
      </c>
      <c r="E113" s="185">
        <v>14226</v>
      </c>
      <c r="F113" s="185" t="s">
        <v>149</v>
      </c>
      <c r="G113" s="184">
        <v>102002</v>
      </c>
      <c r="H113" s="184" t="s">
        <v>112</v>
      </c>
      <c r="I113" s="184" t="s">
        <v>294</v>
      </c>
      <c r="J113" s="184" t="s">
        <v>347</v>
      </c>
      <c r="K113" s="184" t="s">
        <v>295</v>
      </c>
      <c r="L113" s="185">
        <v>1</v>
      </c>
      <c r="M113" s="186">
        <v>17357.36</v>
      </c>
      <c r="N113" s="186">
        <v>0</v>
      </c>
      <c r="O113" s="125">
        <f t="shared" si="11"/>
        <v>17357.36</v>
      </c>
      <c r="P113" s="125"/>
      <c r="Q113" s="73">
        <f t="shared" si="14"/>
        <v>1980.4747760000002</v>
      </c>
    </row>
    <row r="114" spans="1:17" ht="14.5" x14ac:dyDescent="0.35">
      <c r="A114" s="184" t="s">
        <v>155</v>
      </c>
      <c r="B114" s="184" t="s">
        <v>389</v>
      </c>
      <c r="C114" s="184" t="s">
        <v>168</v>
      </c>
      <c r="D114" s="185" t="s">
        <v>287</v>
      </c>
      <c r="E114" s="185">
        <v>14227</v>
      </c>
      <c r="F114" s="185" t="s">
        <v>149</v>
      </c>
      <c r="G114" s="184">
        <v>102003</v>
      </c>
      <c r="H114" s="184" t="s">
        <v>110</v>
      </c>
      <c r="I114" s="184" t="s">
        <v>294</v>
      </c>
      <c r="J114" s="184" t="s">
        <v>295</v>
      </c>
      <c r="K114" s="184" t="s">
        <v>295</v>
      </c>
      <c r="L114" s="185">
        <v>1</v>
      </c>
      <c r="M114" s="186">
        <v>216362.33</v>
      </c>
      <c r="N114" s="186">
        <v>107000</v>
      </c>
      <c r="O114" s="125">
        <f t="shared" si="11"/>
        <v>109362.32999999999</v>
      </c>
      <c r="P114" s="125"/>
      <c r="Q114" s="73">
        <f t="shared" si="14"/>
        <v>24686.941853</v>
      </c>
    </row>
    <row r="115" spans="1:17" ht="14.5" x14ac:dyDescent="0.35">
      <c r="A115" s="184" t="s">
        <v>155</v>
      </c>
      <c r="B115" s="184" t="s">
        <v>389</v>
      </c>
      <c r="C115" s="184" t="s">
        <v>168</v>
      </c>
      <c r="D115" s="185" t="s">
        <v>287</v>
      </c>
      <c r="E115" s="185">
        <v>14228</v>
      </c>
      <c r="F115" s="185" t="s">
        <v>149</v>
      </c>
      <c r="G115" s="184">
        <v>102003</v>
      </c>
      <c r="H115" s="184" t="s">
        <v>110</v>
      </c>
      <c r="I115" s="184" t="s">
        <v>294</v>
      </c>
      <c r="J115" s="184" t="s">
        <v>349</v>
      </c>
      <c r="K115" s="184" t="s">
        <v>295</v>
      </c>
      <c r="L115" s="185">
        <v>1</v>
      </c>
      <c r="M115" s="186">
        <v>255325.04</v>
      </c>
      <c r="N115" s="186">
        <v>0</v>
      </c>
      <c r="O115" s="125">
        <f t="shared" si="11"/>
        <v>255325.04</v>
      </c>
      <c r="P115" s="125"/>
      <c r="Q115" s="73">
        <f t="shared" si="14"/>
        <v>29132.587064000003</v>
      </c>
    </row>
    <row r="116" spans="1:17" ht="14.5" x14ac:dyDescent="0.35">
      <c r="A116" s="184" t="s">
        <v>155</v>
      </c>
      <c r="B116" s="184" t="s">
        <v>389</v>
      </c>
      <c r="C116" s="184" t="s">
        <v>168</v>
      </c>
      <c r="D116" s="185" t="s">
        <v>287</v>
      </c>
      <c r="E116" s="185">
        <v>14229</v>
      </c>
      <c r="F116" s="185" t="s">
        <v>149</v>
      </c>
      <c r="G116" s="184">
        <v>102005</v>
      </c>
      <c r="H116" s="184" t="s">
        <v>116</v>
      </c>
      <c r="I116" s="184" t="s">
        <v>294</v>
      </c>
      <c r="J116" s="184" t="s">
        <v>295</v>
      </c>
      <c r="K116" s="184" t="s">
        <v>295</v>
      </c>
      <c r="L116" s="185">
        <v>1</v>
      </c>
      <c r="M116" s="186">
        <v>86722.72</v>
      </c>
      <c r="N116" s="186">
        <v>55000</v>
      </c>
      <c r="O116" s="125">
        <f t="shared" si="11"/>
        <v>31722.720000000001</v>
      </c>
      <c r="P116" s="125"/>
      <c r="Q116" s="73">
        <f t="shared" si="14"/>
        <v>9895.0623520000008</v>
      </c>
    </row>
    <row r="117" spans="1:17" ht="14.5" x14ac:dyDescent="0.35">
      <c r="A117" s="184" t="s">
        <v>155</v>
      </c>
      <c r="B117" s="184" t="s">
        <v>389</v>
      </c>
      <c r="C117" s="184" t="s">
        <v>168</v>
      </c>
      <c r="D117" s="185" t="s">
        <v>287</v>
      </c>
      <c r="E117" s="185">
        <v>14230</v>
      </c>
      <c r="F117" s="185" t="s">
        <v>149</v>
      </c>
      <c r="G117" s="184">
        <v>102005</v>
      </c>
      <c r="H117" s="184" t="s">
        <v>116</v>
      </c>
      <c r="I117" s="184" t="s">
        <v>294</v>
      </c>
      <c r="J117" s="184" t="s">
        <v>349</v>
      </c>
      <c r="K117" s="184" t="s">
        <v>295</v>
      </c>
      <c r="L117" s="185">
        <v>1</v>
      </c>
      <c r="M117" s="186">
        <v>18379.04</v>
      </c>
      <c r="N117" s="186">
        <v>0</v>
      </c>
      <c r="O117" s="125">
        <f t="shared" si="11"/>
        <v>18379.04</v>
      </c>
      <c r="P117" s="125"/>
      <c r="Q117" s="73">
        <f t="shared" si="14"/>
        <v>2097.0484640000004</v>
      </c>
    </row>
    <row r="118" spans="1:17" ht="14.5" x14ac:dyDescent="0.35">
      <c r="A118" s="184" t="s">
        <v>155</v>
      </c>
      <c r="B118" s="184" t="s">
        <v>389</v>
      </c>
      <c r="C118" s="184" t="s">
        <v>168</v>
      </c>
      <c r="D118" s="185" t="s">
        <v>287</v>
      </c>
      <c r="E118" s="185">
        <v>14231</v>
      </c>
      <c r="F118" s="185" t="s">
        <v>149</v>
      </c>
      <c r="G118" s="184">
        <v>102062</v>
      </c>
      <c r="H118" s="184" t="s">
        <v>117</v>
      </c>
      <c r="I118" s="184" t="s">
        <v>294</v>
      </c>
      <c r="J118" s="184" t="s">
        <v>295</v>
      </c>
      <c r="K118" s="184" t="s">
        <v>295</v>
      </c>
      <c r="L118" s="185">
        <v>1</v>
      </c>
      <c r="M118" s="186">
        <v>3700.66</v>
      </c>
      <c r="N118" s="186">
        <v>0</v>
      </c>
      <c r="O118" s="125">
        <f t="shared" si="11"/>
        <v>3700.66</v>
      </c>
      <c r="P118" s="125"/>
      <c r="Q118" s="73">
        <f t="shared" si="14"/>
        <v>422.24530600000003</v>
      </c>
    </row>
    <row r="119" spans="1:17" ht="14.5" x14ac:dyDescent="0.35">
      <c r="A119" s="184" t="s">
        <v>155</v>
      </c>
      <c r="B119" s="184" t="s">
        <v>389</v>
      </c>
      <c r="C119" s="184" t="s">
        <v>168</v>
      </c>
      <c r="D119" s="185" t="s">
        <v>287</v>
      </c>
      <c r="E119" s="185">
        <v>14232</v>
      </c>
      <c r="F119" s="185" t="s">
        <v>149</v>
      </c>
      <c r="G119" s="184">
        <v>103001</v>
      </c>
      <c r="H119" s="184" t="s">
        <v>113</v>
      </c>
      <c r="I119" s="184" t="s">
        <v>294</v>
      </c>
      <c r="J119" s="184" t="s">
        <v>295</v>
      </c>
      <c r="K119" s="184" t="s">
        <v>295</v>
      </c>
      <c r="L119" s="185">
        <v>1</v>
      </c>
      <c r="M119" s="186">
        <v>34260.980000000003</v>
      </c>
      <c r="N119" s="186">
        <v>0</v>
      </c>
      <c r="O119" s="125">
        <f t="shared" si="11"/>
        <v>34260.980000000003</v>
      </c>
      <c r="P119" s="125"/>
      <c r="Q119" s="73">
        <f t="shared" si="14"/>
        <v>3909.1778180000006</v>
      </c>
    </row>
    <row r="120" spans="1:17" ht="14.5" x14ac:dyDescent="0.35">
      <c r="A120" s="184" t="s">
        <v>155</v>
      </c>
      <c r="B120" s="184" t="s">
        <v>389</v>
      </c>
      <c r="C120" s="184" t="s">
        <v>168</v>
      </c>
      <c r="D120" s="185" t="s">
        <v>287</v>
      </c>
      <c r="E120" s="185">
        <v>14233</v>
      </c>
      <c r="F120" s="185" t="s">
        <v>149</v>
      </c>
      <c r="G120" s="184">
        <v>103001</v>
      </c>
      <c r="H120" s="184" t="s">
        <v>113</v>
      </c>
      <c r="I120" s="184" t="s">
        <v>294</v>
      </c>
      <c r="J120" s="184" t="s">
        <v>349</v>
      </c>
      <c r="K120" s="184" t="s">
        <v>295</v>
      </c>
      <c r="L120" s="185">
        <v>1</v>
      </c>
      <c r="M120" s="186">
        <v>3620.1</v>
      </c>
      <c r="N120" s="186">
        <v>0</v>
      </c>
      <c r="O120" s="125">
        <f t="shared" si="11"/>
        <v>3620.1</v>
      </c>
      <c r="P120" s="125"/>
      <c r="Q120" s="73">
        <f t="shared" si="14"/>
        <v>413.05340999999999</v>
      </c>
    </row>
    <row r="121" spans="1:17" ht="14.5" x14ac:dyDescent="0.35">
      <c r="A121" s="184" t="s">
        <v>155</v>
      </c>
      <c r="B121" s="184" t="s">
        <v>389</v>
      </c>
      <c r="C121" s="184" t="s">
        <v>168</v>
      </c>
      <c r="D121" s="185" t="s">
        <v>287</v>
      </c>
      <c r="E121" s="185">
        <v>14234</v>
      </c>
      <c r="F121" s="185" t="s">
        <v>149</v>
      </c>
      <c r="G121" s="184">
        <v>103001</v>
      </c>
      <c r="H121" s="184" t="s">
        <v>113</v>
      </c>
      <c r="I121" s="184" t="s">
        <v>294</v>
      </c>
      <c r="J121" s="184" t="s">
        <v>350</v>
      </c>
      <c r="K121" s="184" t="s">
        <v>295</v>
      </c>
      <c r="L121" s="185">
        <v>1</v>
      </c>
      <c r="M121" s="186">
        <v>0</v>
      </c>
      <c r="N121" s="186">
        <v>0</v>
      </c>
      <c r="O121" s="125">
        <f t="shared" si="11"/>
        <v>0</v>
      </c>
      <c r="P121" s="125"/>
      <c r="Q121" s="73">
        <f t="shared" si="14"/>
        <v>0</v>
      </c>
    </row>
    <row r="122" spans="1:17" ht="14.5" x14ac:dyDescent="0.35">
      <c r="A122" s="184" t="s">
        <v>155</v>
      </c>
      <c r="B122" s="184" t="s">
        <v>389</v>
      </c>
      <c r="C122" s="184" t="s">
        <v>168</v>
      </c>
      <c r="D122" s="185" t="s">
        <v>287</v>
      </c>
      <c r="E122" s="185">
        <v>14235</v>
      </c>
      <c r="F122" s="185" t="s">
        <v>149</v>
      </c>
      <c r="G122" s="184">
        <v>103001</v>
      </c>
      <c r="H122" s="184" t="s">
        <v>113</v>
      </c>
      <c r="I122" s="184" t="s">
        <v>294</v>
      </c>
      <c r="J122" s="184" t="s">
        <v>347</v>
      </c>
      <c r="K122" s="184" t="s">
        <v>295</v>
      </c>
      <c r="L122" s="185">
        <v>1</v>
      </c>
      <c r="M122" s="186">
        <v>10488.78</v>
      </c>
      <c r="N122" s="186">
        <v>0</v>
      </c>
      <c r="O122" s="125">
        <f t="shared" si="11"/>
        <v>10488.78</v>
      </c>
      <c r="P122" s="125"/>
      <c r="Q122" s="73">
        <f t="shared" si="14"/>
        <v>1196.7697980000003</v>
      </c>
    </row>
    <row r="123" spans="1:17" ht="14.5" x14ac:dyDescent="0.35">
      <c r="A123" s="184" t="s">
        <v>155</v>
      </c>
      <c r="B123" s="184" t="s">
        <v>389</v>
      </c>
      <c r="C123" s="184" t="s">
        <v>168</v>
      </c>
      <c r="D123" s="185" t="s">
        <v>287</v>
      </c>
      <c r="E123" s="185">
        <v>14236</v>
      </c>
      <c r="F123" s="185" t="s">
        <v>149</v>
      </c>
      <c r="G123" s="184">
        <v>103069</v>
      </c>
      <c r="H123" s="184" t="s">
        <v>225</v>
      </c>
      <c r="I123" s="184" t="s">
        <v>294</v>
      </c>
      <c r="J123" s="184" t="s">
        <v>295</v>
      </c>
      <c r="K123" s="184" t="s">
        <v>295</v>
      </c>
      <c r="L123" s="185">
        <v>1</v>
      </c>
      <c r="M123" s="186">
        <v>9694.65</v>
      </c>
      <c r="N123" s="186">
        <v>0</v>
      </c>
      <c r="O123" s="125">
        <f t="shared" si="11"/>
        <v>9694.65</v>
      </c>
      <c r="P123" s="125"/>
      <c r="Q123" s="73">
        <f t="shared" si="14"/>
        <v>1106.1595650000002</v>
      </c>
    </row>
    <row r="124" spans="1:17" ht="14.5" x14ac:dyDescent="0.35">
      <c r="A124" s="184" t="s">
        <v>155</v>
      </c>
      <c r="B124" s="184" t="s">
        <v>389</v>
      </c>
      <c r="C124" s="184" t="s">
        <v>168</v>
      </c>
      <c r="D124" s="185" t="s">
        <v>287</v>
      </c>
      <c r="E124" s="185">
        <v>14237</v>
      </c>
      <c r="F124" s="185" t="s">
        <v>149</v>
      </c>
      <c r="G124" s="184">
        <v>104000</v>
      </c>
      <c r="H124" s="184" t="s">
        <v>114</v>
      </c>
      <c r="I124" s="184" t="s">
        <v>294</v>
      </c>
      <c r="J124" s="184" t="s">
        <v>295</v>
      </c>
      <c r="K124" s="184" t="s">
        <v>295</v>
      </c>
      <c r="L124" s="185">
        <v>1</v>
      </c>
      <c r="M124" s="186">
        <v>30259</v>
      </c>
      <c r="N124" s="186">
        <v>38000</v>
      </c>
      <c r="O124" s="125">
        <f t="shared" si="11"/>
        <v>-7741</v>
      </c>
      <c r="P124" s="125"/>
      <c r="Q124" s="73">
        <f t="shared" si="14"/>
        <v>3452.5518999999999</v>
      </c>
    </row>
    <row r="125" spans="1:17" ht="14.5" x14ac:dyDescent="0.35">
      <c r="A125" s="184" t="s">
        <v>155</v>
      </c>
      <c r="B125" s="184" t="s">
        <v>389</v>
      </c>
      <c r="C125" s="184" t="s">
        <v>168</v>
      </c>
      <c r="D125" s="185" t="s">
        <v>287</v>
      </c>
      <c r="E125" s="185">
        <v>14238</v>
      </c>
      <c r="F125" s="185" t="s">
        <v>149</v>
      </c>
      <c r="G125" s="184">
        <v>104000</v>
      </c>
      <c r="H125" s="184" t="s">
        <v>114</v>
      </c>
      <c r="I125" s="184" t="s">
        <v>294</v>
      </c>
      <c r="J125" s="184" t="s">
        <v>349</v>
      </c>
      <c r="K125" s="184" t="s">
        <v>295</v>
      </c>
      <c r="L125" s="185">
        <v>1</v>
      </c>
      <c r="M125" s="186">
        <v>24285.14</v>
      </c>
      <c r="N125" s="186">
        <v>28000</v>
      </c>
      <c r="O125" s="125">
        <f t="shared" si="11"/>
        <v>-3714.8600000000006</v>
      </c>
      <c r="P125" s="125"/>
      <c r="Q125" s="73">
        <f t="shared" si="14"/>
        <v>2770.9344740000001</v>
      </c>
    </row>
    <row r="126" spans="1:17" ht="14.5" x14ac:dyDescent="0.35">
      <c r="A126" s="184" t="s">
        <v>155</v>
      </c>
      <c r="B126" s="184" t="s">
        <v>389</v>
      </c>
      <c r="C126" s="184" t="s">
        <v>168</v>
      </c>
      <c r="D126" s="185" t="s">
        <v>287</v>
      </c>
      <c r="E126" s="185">
        <v>14239</v>
      </c>
      <c r="F126" s="185" t="s">
        <v>149</v>
      </c>
      <c r="G126" s="184">
        <v>104000</v>
      </c>
      <c r="H126" s="184" t="s">
        <v>114</v>
      </c>
      <c r="I126" s="184" t="s">
        <v>294</v>
      </c>
      <c r="J126" s="184" t="s">
        <v>347</v>
      </c>
      <c r="K126" s="184" t="s">
        <v>295</v>
      </c>
      <c r="L126" s="185">
        <v>1</v>
      </c>
      <c r="M126" s="186">
        <v>177.81</v>
      </c>
      <c r="N126" s="186">
        <v>0</v>
      </c>
      <c r="O126" s="125">
        <f t="shared" si="11"/>
        <v>177.81</v>
      </c>
      <c r="P126" s="125"/>
      <c r="Q126" s="73">
        <f t="shared" si="14"/>
        <v>20.288121000000004</v>
      </c>
    </row>
    <row r="127" spans="1:17" ht="14.5" x14ac:dyDescent="0.35">
      <c r="A127" s="184" t="s">
        <v>155</v>
      </c>
      <c r="B127" s="184" t="s">
        <v>389</v>
      </c>
      <c r="C127" s="184" t="s">
        <v>168</v>
      </c>
      <c r="D127" s="185" t="s">
        <v>287</v>
      </c>
      <c r="E127" s="185">
        <v>14240</v>
      </c>
      <c r="F127" s="185" t="s">
        <v>149</v>
      </c>
      <c r="G127" s="184">
        <v>105010</v>
      </c>
      <c r="H127" s="184" t="s">
        <v>124</v>
      </c>
      <c r="I127" s="184" t="s">
        <v>294</v>
      </c>
      <c r="J127" s="184" t="s">
        <v>295</v>
      </c>
      <c r="K127" s="184" t="s">
        <v>295</v>
      </c>
      <c r="L127" s="185">
        <v>1</v>
      </c>
      <c r="M127" s="186">
        <v>1436.92</v>
      </c>
      <c r="N127" s="186">
        <v>0</v>
      </c>
      <c r="O127" s="125">
        <f t="shared" si="11"/>
        <v>1436.92</v>
      </c>
      <c r="P127" s="125"/>
      <c r="Q127" s="73">
        <f t="shared" si="14"/>
        <v>163.952572</v>
      </c>
    </row>
    <row r="128" spans="1:17" ht="14.5" x14ac:dyDescent="0.35">
      <c r="A128" s="184" t="s">
        <v>155</v>
      </c>
      <c r="B128" s="184" t="s">
        <v>389</v>
      </c>
      <c r="C128" s="184" t="s">
        <v>168</v>
      </c>
      <c r="D128" s="185" t="s">
        <v>287</v>
      </c>
      <c r="E128" s="185">
        <v>14241</v>
      </c>
      <c r="F128" s="185" t="s">
        <v>149</v>
      </c>
      <c r="G128" s="184">
        <v>105010</v>
      </c>
      <c r="H128" s="184" t="s">
        <v>124</v>
      </c>
      <c r="I128" s="184" t="s">
        <v>294</v>
      </c>
      <c r="J128" s="184" t="s">
        <v>349</v>
      </c>
      <c r="K128" s="184" t="s">
        <v>295</v>
      </c>
      <c r="L128" s="185">
        <v>1</v>
      </c>
      <c r="M128" s="186">
        <v>3812.07</v>
      </c>
      <c r="N128" s="186">
        <v>0</v>
      </c>
      <c r="O128" s="125">
        <f t="shared" si="11"/>
        <v>3812.07</v>
      </c>
      <c r="P128" s="125"/>
      <c r="Q128" s="73">
        <f t="shared" si="14"/>
        <v>434.95718700000009</v>
      </c>
    </row>
    <row r="129" spans="1:17" ht="14.5" x14ac:dyDescent="0.35">
      <c r="A129" s="184" t="s">
        <v>155</v>
      </c>
      <c r="B129" s="184" t="s">
        <v>389</v>
      </c>
      <c r="C129" s="184" t="s">
        <v>168</v>
      </c>
      <c r="D129" s="185" t="s">
        <v>287</v>
      </c>
      <c r="E129" s="185">
        <v>14242</v>
      </c>
      <c r="F129" s="185" t="s">
        <v>149</v>
      </c>
      <c r="G129" s="184">
        <v>105019</v>
      </c>
      <c r="H129" s="184" t="s">
        <v>115</v>
      </c>
      <c r="I129" s="184" t="s">
        <v>294</v>
      </c>
      <c r="J129" s="184" t="s">
        <v>295</v>
      </c>
      <c r="K129" s="184" t="s">
        <v>295</v>
      </c>
      <c r="L129" s="185">
        <v>1</v>
      </c>
      <c r="M129" s="186">
        <v>1078.6099999999999</v>
      </c>
      <c r="N129" s="186">
        <v>0</v>
      </c>
      <c r="O129" s="125">
        <f t="shared" si="11"/>
        <v>1078.6099999999999</v>
      </c>
      <c r="P129" s="125"/>
      <c r="Q129" s="73">
        <f t="shared" si="14"/>
        <v>123.06940099999998</v>
      </c>
    </row>
    <row r="130" spans="1:17" ht="14.5" x14ac:dyDescent="0.35">
      <c r="A130" s="184" t="s">
        <v>155</v>
      </c>
      <c r="B130" s="184" t="s">
        <v>389</v>
      </c>
      <c r="C130" s="184" t="s">
        <v>168</v>
      </c>
      <c r="D130" s="185" t="s">
        <v>287</v>
      </c>
      <c r="E130" s="185">
        <v>14243</v>
      </c>
      <c r="F130" s="185" t="s">
        <v>149</v>
      </c>
      <c r="G130" s="184">
        <v>105098</v>
      </c>
      <c r="H130" s="184" t="s">
        <v>314</v>
      </c>
      <c r="I130" s="184" t="s">
        <v>294</v>
      </c>
      <c r="J130" s="184" t="s">
        <v>391</v>
      </c>
      <c r="K130" s="184" t="s">
        <v>295</v>
      </c>
      <c r="L130" s="185">
        <v>1</v>
      </c>
      <c r="M130" s="186">
        <v>-4392</v>
      </c>
      <c r="N130" s="186">
        <v>0</v>
      </c>
      <c r="O130" s="125">
        <f t="shared" si="11"/>
        <v>-4392</v>
      </c>
      <c r="P130" s="125"/>
      <c r="Q130" s="73">
        <f t="shared" si="14"/>
        <v>-501.12720000000007</v>
      </c>
    </row>
    <row r="131" spans="1:17" ht="14.5" x14ac:dyDescent="0.35">
      <c r="A131" s="184" t="s">
        <v>155</v>
      </c>
      <c r="B131" s="184" t="s">
        <v>389</v>
      </c>
      <c r="C131" s="184" t="s">
        <v>168</v>
      </c>
      <c r="D131" s="185" t="s">
        <v>287</v>
      </c>
      <c r="E131" s="185">
        <v>14244</v>
      </c>
      <c r="F131" s="185" t="s">
        <v>149</v>
      </c>
      <c r="G131" s="184">
        <v>105099</v>
      </c>
      <c r="H131" s="184" t="s">
        <v>107</v>
      </c>
      <c r="I131" s="184" t="s">
        <v>294</v>
      </c>
      <c r="J131" s="184" t="s">
        <v>392</v>
      </c>
      <c r="K131" s="184" t="s">
        <v>295</v>
      </c>
      <c r="L131" s="185">
        <v>1</v>
      </c>
      <c r="M131" s="186">
        <v>4392</v>
      </c>
      <c r="N131" s="186">
        <v>0</v>
      </c>
      <c r="O131" s="125">
        <f t="shared" si="11"/>
        <v>4392</v>
      </c>
      <c r="P131" s="125"/>
      <c r="Q131" s="73">
        <f t="shared" si="14"/>
        <v>501.12720000000007</v>
      </c>
    </row>
    <row r="132" spans="1:17" ht="14.5" x14ac:dyDescent="0.35">
      <c r="A132" s="184" t="s">
        <v>155</v>
      </c>
      <c r="B132" s="184" t="s">
        <v>389</v>
      </c>
      <c r="C132" s="184" t="s">
        <v>168</v>
      </c>
      <c r="D132" s="185" t="s">
        <v>287</v>
      </c>
      <c r="E132" s="185">
        <v>14245</v>
      </c>
      <c r="F132" s="185" t="s">
        <v>149</v>
      </c>
      <c r="G132" s="189">
        <v>109001</v>
      </c>
      <c r="H132" s="184" t="s">
        <v>105</v>
      </c>
      <c r="I132" s="184" t="s">
        <v>294</v>
      </c>
      <c r="J132" s="184" t="s">
        <v>295</v>
      </c>
      <c r="K132" s="184" t="s">
        <v>295</v>
      </c>
      <c r="L132" s="185">
        <v>1</v>
      </c>
      <c r="M132" s="186">
        <v>524936.05000000005</v>
      </c>
      <c r="N132" s="186">
        <v>510000</v>
      </c>
      <c r="O132" s="125">
        <f t="shared" si="11"/>
        <v>14936.050000000047</v>
      </c>
      <c r="P132" s="164">
        <f t="shared" ref="P132:P135" si="15">M132*-1</f>
        <v>-524936.05000000005</v>
      </c>
    </row>
    <row r="133" spans="1:17" ht="14.5" x14ac:dyDescent="0.35">
      <c r="A133" s="184" t="s">
        <v>155</v>
      </c>
      <c r="B133" s="184" t="s">
        <v>389</v>
      </c>
      <c r="C133" s="184" t="s">
        <v>168</v>
      </c>
      <c r="D133" s="185" t="s">
        <v>287</v>
      </c>
      <c r="E133" s="185">
        <v>14246</v>
      </c>
      <c r="F133" s="185" t="s">
        <v>149</v>
      </c>
      <c r="G133" s="189">
        <v>109001</v>
      </c>
      <c r="H133" s="184" t="s">
        <v>105</v>
      </c>
      <c r="I133" s="184" t="s">
        <v>294</v>
      </c>
      <c r="J133" s="184" t="s">
        <v>349</v>
      </c>
      <c r="K133" s="184" t="s">
        <v>295</v>
      </c>
      <c r="L133" s="185">
        <v>1</v>
      </c>
      <c r="M133" s="186">
        <v>27704.2</v>
      </c>
      <c r="N133" s="186">
        <v>28000</v>
      </c>
      <c r="O133" s="125">
        <f t="shared" si="11"/>
        <v>-295.79999999999927</v>
      </c>
      <c r="P133" s="164">
        <f t="shared" si="15"/>
        <v>-27704.2</v>
      </c>
    </row>
    <row r="134" spans="1:17" ht="14.5" x14ac:dyDescent="0.35">
      <c r="A134" s="184" t="s">
        <v>155</v>
      </c>
      <c r="B134" s="184" t="s">
        <v>389</v>
      </c>
      <c r="C134" s="184" t="s">
        <v>168</v>
      </c>
      <c r="D134" s="185" t="s">
        <v>287</v>
      </c>
      <c r="E134" s="185">
        <v>14247</v>
      </c>
      <c r="F134" s="185" t="s">
        <v>149</v>
      </c>
      <c r="G134" s="189">
        <v>109001</v>
      </c>
      <c r="H134" s="184" t="s">
        <v>105</v>
      </c>
      <c r="I134" s="184" t="s">
        <v>294</v>
      </c>
      <c r="J134" s="184" t="s">
        <v>350</v>
      </c>
      <c r="K134" s="184" t="s">
        <v>295</v>
      </c>
      <c r="L134" s="185">
        <v>1</v>
      </c>
      <c r="M134" s="186">
        <v>0</v>
      </c>
      <c r="N134" s="186">
        <v>0</v>
      </c>
      <c r="O134" s="125">
        <f t="shared" si="11"/>
        <v>0</v>
      </c>
      <c r="P134" s="164">
        <f t="shared" si="15"/>
        <v>0</v>
      </c>
    </row>
    <row r="135" spans="1:17" ht="14.5" x14ac:dyDescent="0.35">
      <c r="A135" s="184" t="s">
        <v>155</v>
      </c>
      <c r="B135" s="184" t="s">
        <v>389</v>
      </c>
      <c r="C135" s="184" t="s">
        <v>168</v>
      </c>
      <c r="D135" s="185" t="s">
        <v>287</v>
      </c>
      <c r="E135" s="185">
        <v>14248</v>
      </c>
      <c r="F135" s="185" t="s">
        <v>149</v>
      </c>
      <c r="G135" s="189">
        <v>109001</v>
      </c>
      <c r="H135" s="184" t="s">
        <v>105</v>
      </c>
      <c r="I135" s="184" t="s">
        <v>294</v>
      </c>
      <c r="J135" s="184" t="s">
        <v>347</v>
      </c>
      <c r="K135" s="184" t="s">
        <v>295</v>
      </c>
      <c r="L135" s="185">
        <v>1</v>
      </c>
      <c r="M135" s="186">
        <v>3760.33</v>
      </c>
      <c r="N135" s="186">
        <v>0</v>
      </c>
      <c r="O135" s="125">
        <f t="shared" si="11"/>
        <v>3760.33</v>
      </c>
      <c r="P135" s="164">
        <f t="shared" si="15"/>
        <v>-3760.33</v>
      </c>
    </row>
    <row r="136" spans="1:17" ht="14.5" x14ac:dyDescent="0.35">
      <c r="A136" s="184" t="s">
        <v>155</v>
      </c>
      <c r="B136" s="184" t="s">
        <v>389</v>
      </c>
      <c r="C136" s="184" t="s">
        <v>168</v>
      </c>
      <c r="D136" s="185" t="s">
        <v>287</v>
      </c>
      <c r="E136" s="185">
        <v>14249</v>
      </c>
      <c r="F136" s="185" t="s">
        <v>149</v>
      </c>
      <c r="G136" s="189">
        <v>109901</v>
      </c>
      <c r="H136" s="184" t="s">
        <v>106</v>
      </c>
      <c r="I136" s="184" t="s">
        <v>294</v>
      </c>
      <c r="J136" s="184" t="s">
        <v>295</v>
      </c>
      <c r="K136" s="184" t="s">
        <v>295</v>
      </c>
      <c r="L136" s="185">
        <v>1</v>
      </c>
      <c r="M136" s="186">
        <v>787572.77</v>
      </c>
      <c r="N136" s="186">
        <v>794000</v>
      </c>
      <c r="O136" s="125">
        <f t="shared" ref="O136:O199" si="16">M136-N136</f>
        <v>-6427.2299999999814</v>
      </c>
      <c r="P136" s="125"/>
    </row>
    <row r="137" spans="1:17" ht="14.5" x14ac:dyDescent="0.35">
      <c r="A137" s="184" t="s">
        <v>155</v>
      </c>
      <c r="B137" s="184" t="s">
        <v>389</v>
      </c>
      <c r="C137" s="184" t="s">
        <v>168</v>
      </c>
      <c r="D137" s="185" t="s">
        <v>287</v>
      </c>
      <c r="E137" s="185">
        <v>14250</v>
      </c>
      <c r="F137" s="185" t="s">
        <v>149</v>
      </c>
      <c r="G137" s="189">
        <v>109901</v>
      </c>
      <c r="H137" s="184" t="s">
        <v>106</v>
      </c>
      <c r="I137" s="184" t="s">
        <v>294</v>
      </c>
      <c r="J137" s="184" t="s">
        <v>349</v>
      </c>
      <c r="K137" s="184" t="s">
        <v>295</v>
      </c>
      <c r="L137" s="185">
        <v>1</v>
      </c>
      <c r="M137" s="186">
        <v>46970.67</v>
      </c>
      <c r="N137" s="186">
        <v>47000</v>
      </c>
      <c r="O137" s="125">
        <f t="shared" si="16"/>
        <v>-29.330000000001746</v>
      </c>
      <c r="P137" s="125"/>
    </row>
    <row r="138" spans="1:17" ht="14.5" x14ac:dyDescent="0.35">
      <c r="A138" s="184" t="s">
        <v>155</v>
      </c>
      <c r="B138" s="184" t="s">
        <v>389</v>
      </c>
      <c r="C138" s="184" t="s">
        <v>168</v>
      </c>
      <c r="D138" s="185" t="s">
        <v>287</v>
      </c>
      <c r="E138" s="185">
        <v>14251</v>
      </c>
      <c r="F138" s="185" t="s">
        <v>149</v>
      </c>
      <c r="G138" s="189">
        <v>109901</v>
      </c>
      <c r="H138" s="184" t="s">
        <v>106</v>
      </c>
      <c r="I138" s="184" t="s">
        <v>294</v>
      </c>
      <c r="J138" s="184" t="s">
        <v>392</v>
      </c>
      <c r="K138" s="184" t="s">
        <v>295</v>
      </c>
      <c r="L138" s="185">
        <v>1</v>
      </c>
      <c r="M138" s="186">
        <v>619.32000000000005</v>
      </c>
      <c r="N138" s="186">
        <v>0</v>
      </c>
      <c r="O138" s="125">
        <f t="shared" si="16"/>
        <v>619.32000000000005</v>
      </c>
      <c r="P138" s="125"/>
    </row>
    <row r="139" spans="1:17" ht="14.5" x14ac:dyDescent="0.35">
      <c r="A139" s="184" t="s">
        <v>155</v>
      </c>
      <c r="B139" s="184" t="s">
        <v>389</v>
      </c>
      <c r="C139" s="184" t="s">
        <v>168</v>
      </c>
      <c r="D139" s="185" t="s">
        <v>287</v>
      </c>
      <c r="E139" s="185">
        <v>14252</v>
      </c>
      <c r="F139" s="185" t="s">
        <v>149</v>
      </c>
      <c r="G139" s="189">
        <v>109901</v>
      </c>
      <c r="H139" s="184" t="s">
        <v>106</v>
      </c>
      <c r="I139" s="184" t="s">
        <v>294</v>
      </c>
      <c r="J139" s="184" t="s">
        <v>350</v>
      </c>
      <c r="K139" s="184" t="s">
        <v>295</v>
      </c>
      <c r="L139" s="185">
        <v>1</v>
      </c>
      <c r="M139" s="186">
        <v>0</v>
      </c>
      <c r="N139" s="186">
        <v>0</v>
      </c>
      <c r="O139" s="125">
        <f t="shared" si="16"/>
        <v>0</v>
      </c>
      <c r="P139" s="125"/>
    </row>
    <row r="140" spans="1:17" ht="14.5" x14ac:dyDescent="0.35">
      <c r="A140" s="184" t="s">
        <v>155</v>
      </c>
      <c r="B140" s="184" t="s">
        <v>389</v>
      </c>
      <c r="C140" s="184" t="s">
        <v>168</v>
      </c>
      <c r="D140" s="185" t="s">
        <v>287</v>
      </c>
      <c r="E140" s="185">
        <v>14253</v>
      </c>
      <c r="F140" s="185" t="s">
        <v>149</v>
      </c>
      <c r="G140" s="189">
        <v>109901</v>
      </c>
      <c r="H140" s="184" t="s">
        <v>106</v>
      </c>
      <c r="I140" s="184" t="s">
        <v>294</v>
      </c>
      <c r="J140" s="184" t="s">
        <v>347</v>
      </c>
      <c r="K140" s="184" t="s">
        <v>295</v>
      </c>
      <c r="L140" s="185">
        <v>1</v>
      </c>
      <c r="M140" s="186">
        <v>5845.92</v>
      </c>
      <c r="N140" s="186">
        <v>0</v>
      </c>
      <c r="O140" s="125">
        <f t="shared" si="16"/>
        <v>5845.92</v>
      </c>
      <c r="P140" s="164"/>
    </row>
    <row r="141" spans="1:17" ht="14.5" x14ac:dyDescent="0.35">
      <c r="A141" s="184" t="s">
        <v>155</v>
      </c>
      <c r="B141" s="184" t="s">
        <v>389</v>
      </c>
      <c r="C141" s="184" t="s">
        <v>168</v>
      </c>
      <c r="D141" s="185" t="s">
        <v>287</v>
      </c>
      <c r="E141" s="185">
        <v>14254</v>
      </c>
      <c r="F141" s="185" t="s">
        <v>149</v>
      </c>
      <c r="G141" s="189">
        <v>109901</v>
      </c>
      <c r="H141" s="184" t="s">
        <v>106</v>
      </c>
      <c r="I141" s="184" t="s">
        <v>294</v>
      </c>
      <c r="J141" s="184" t="s">
        <v>390</v>
      </c>
      <c r="K141" s="184" t="s">
        <v>295</v>
      </c>
      <c r="L141" s="185">
        <v>1</v>
      </c>
      <c r="M141" s="186">
        <v>0</v>
      </c>
      <c r="N141" s="186">
        <v>1000</v>
      </c>
      <c r="O141" s="125">
        <f t="shared" si="16"/>
        <v>-1000</v>
      </c>
      <c r="P141" s="164"/>
    </row>
    <row r="142" spans="1:17" ht="14.5" x14ac:dyDescent="0.35">
      <c r="A142" s="184" t="s">
        <v>155</v>
      </c>
      <c r="B142" s="184" t="s">
        <v>393</v>
      </c>
      <c r="C142" s="184" t="s">
        <v>169</v>
      </c>
      <c r="D142" s="185" t="s">
        <v>287</v>
      </c>
      <c r="E142" s="185">
        <v>14339</v>
      </c>
      <c r="F142" s="185" t="s">
        <v>149</v>
      </c>
      <c r="G142" s="184">
        <v>101001</v>
      </c>
      <c r="H142" s="184" t="s">
        <v>108</v>
      </c>
      <c r="I142" s="184" t="s">
        <v>294</v>
      </c>
      <c r="J142" s="184" t="s">
        <v>295</v>
      </c>
      <c r="K142" s="184" t="s">
        <v>295</v>
      </c>
      <c r="L142" s="185">
        <v>1</v>
      </c>
      <c r="M142" s="186">
        <v>5570570.3799999999</v>
      </c>
      <c r="N142" s="186">
        <v>5537000</v>
      </c>
      <c r="O142" s="125">
        <f t="shared" si="16"/>
        <v>33570.379999999888</v>
      </c>
      <c r="P142" s="125"/>
      <c r="Q142" s="73">
        <f t="shared" ref="Q142:Q164" si="17">M142*$Q$7*1.141</f>
        <v>635602.08035800012</v>
      </c>
    </row>
    <row r="143" spans="1:17" ht="14.5" x14ac:dyDescent="0.35">
      <c r="A143" s="184" t="s">
        <v>155</v>
      </c>
      <c r="B143" s="184" t="s">
        <v>393</v>
      </c>
      <c r="C143" s="184" t="s">
        <v>169</v>
      </c>
      <c r="D143" s="185" t="s">
        <v>287</v>
      </c>
      <c r="E143" s="185">
        <v>14340</v>
      </c>
      <c r="F143" s="185" t="s">
        <v>149</v>
      </c>
      <c r="G143" s="184">
        <v>101002</v>
      </c>
      <c r="H143" s="184" t="s">
        <v>109</v>
      </c>
      <c r="I143" s="184" t="s">
        <v>294</v>
      </c>
      <c r="J143" s="184" t="s">
        <v>295</v>
      </c>
      <c r="K143" s="184" t="s">
        <v>295</v>
      </c>
      <c r="L143" s="185">
        <v>1</v>
      </c>
      <c r="M143" s="186">
        <v>-11549.58</v>
      </c>
      <c r="N143" s="186">
        <v>0</v>
      </c>
      <c r="O143" s="125">
        <f t="shared" si="16"/>
        <v>-11549.58</v>
      </c>
      <c r="P143" s="125"/>
      <c r="Q143" s="73">
        <f t="shared" si="17"/>
        <v>-1317.807078</v>
      </c>
    </row>
    <row r="144" spans="1:17" ht="14.5" x14ac:dyDescent="0.35">
      <c r="A144" s="184" t="s">
        <v>155</v>
      </c>
      <c r="B144" s="184" t="s">
        <v>393</v>
      </c>
      <c r="C144" s="184" t="s">
        <v>169</v>
      </c>
      <c r="D144" s="185" t="s">
        <v>287</v>
      </c>
      <c r="E144" s="185">
        <v>14341</v>
      </c>
      <c r="F144" s="185" t="s">
        <v>149</v>
      </c>
      <c r="G144" s="184">
        <v>101002</v>
      </c>
      <c r="H144" s="184" t="s">
        <v>109</v>
      </c>
      <c r="I144" s="184" t="s">
        <v>294</v>
      </c>
      <c r="J144" s="184" t="s">
        <v>349</v>
      </c>
      <c r="K144" s="184" t="s">
        <v>295</v>
      </c>
      <c r="L144" s="185">
        <v>1</v>
      </c>
      <c r="M144" s="186">
        <v>0</v>
      </c>
      <c r="N144" s="186">
        <v>135000</v>
      </c>
      <c r="O144" s="125">
        <f t="shared" si="16"/>
        <v>-135000</v>
      </c>
      <c r="P144" s="125"/>
      <c r="Q144" s="73">
        <f t="shared" si="17"/>
        <v>0</v>
      </c>
    </row>
    <row r="145" spans="1:17" ht="14.5" x14ac:dyDescent="0.35">
      <c r="A145" s="184" t="s">
        <v>155</v>
      </c>
      <c r="B145" s="184" t="s">
        <v>393</v>
      </c>
      <c r="C145" s="184" t="s">
        <v>169</v>
      </c>
      <c r="D145" s="185" t="s">
        <v>287</v>
      </c>
      <c r="E145" s="185">
        <v>14342</v>
      </c>
      <c r="F145" s="185" t="s">
        <v>149</v>
      </c>
      <c r="G145" s="184">
        <v>101031</v>
      </c>
      <c r="H145" s="184" t="s">
        <v>156</v>
      </c>
      <c r="I145" s="184" t="s">
        <v>294</v>
      </c>
      <c r="J145" s="184" t="s">
        <v>295</v>
      </c>
      <c r="K145" s="184" t="s">
        <v>295</v>
      </c>
      <c r="L145" s="185">
        <v>1</v>
      </c>
      <c r="M145" s="186">
        <v>-611.5</v>
      </c>
      <c r="N145" s="186">
        <v>0</v>
      </c>
      <c r="O145" s="125">
        <f t="shared" si="16"/>
        <v>-611.5</v>
      </c>
      <c r="P145" s="125"/>
      <c r="Q145" s="73">
        <f t="shared" si="17"/>
        <v>-69.772150000000011</v>
      </c>
    </row>
    <row r="146" spans="1:17" ht="14.5" x14ac:dyDescent="0.35">
      <c r="A146" s="184" t="s">
        <v>155</v>
      </c>
      <c r="B146" s="184" t="s">
        <v>393</v>
      </c>
      <c r="C146" s="184" t="s">
        <v>169</v>
      </c>
      <c r="D146" s="185" t="s">
        <v>287</v>
      </c>
      <c r="E146" s="185">
        <v>14343</v>
      </c>
      <c r="F146" s="185" t="s">
        <v>149</v>
      </c>
      <c r="G146" s="184">
        <v>101039</v>
      </c>
      <c r="H146" s="184" t="s">
        <v>111</v>
      </c>
      <c r="I146" s="184" t="s">
        <v>294</v>
      </c>
      <c r="J146" s="184" t="s">
        <v>295</v>
      </c>
      <c r="K146" s="184" t="s">
        <v>295</v>
      </c>
      <c r="L146" s="185">
        <v>1</v>
      </c>
      <c r="M146" s="186">
        <v>179636.66</v>
      </c>
      <c r="N146" s="186">
        <v>5000</v>
      </c>
      <c r="O146" s="125">
        <f t="shared" si="16"/>
        <v>174636.66</v>
      </c>
      <c r="P146" s="125"/>
      <c r="Q146" s="73">
        <f t="shared" si="17"/>
        <v>20496.542906000002</v>
      </c>
    </row>
    <row r="147" spans="1:17" ht="14.5" x14ac:dyDescent="0.35">
      <c r="A147" s="184" t="s">
        <v>155</v>
      </c>
      <c r="B147" s="184" t="s">
        <v>393</v>
      </c>
      <c r="C147" s="184" t="s">
        <v>169</v>
      </c>
      <c r="D147" s="185" t="s">
        <v>287</v>
      </c>
      <c r="E147" s="185">
        <v>14344</v>
      </c>
      <c r="F147" s="185" t="s">
        <v>149</v>
      </c>
      <c r="G147" s="184">
        <v>102002</v>
      </c>
      <c r="H147" s="184" t="s">
        <v>112</v>
      </c>
      <c r="I147" s="184" t="s">
        <v>294</v>
      </c>
      <c r="J147" s="184" t="s">
        <v>295</v>
      </c>
      <c r="K147" s="184" t="s">
        <v>295</v>
      </c>
      <c r="L147" s="185">
        <v>1</v>
      </c>
      <c r="M147" s="186">
        <v>30690.38</v>
      </c>
      <c r="N147" s="186">
        <v>0</v>
      </c>
      <c r="O147" s="125">
        <f t="shared" si="16"/>
        <v>30690.38</v>
      </c>
      <c r="P147" s="125"/>
      <c r="Q147" s="73">
        <f t="shared" si="17"/>
        <v>3501.7723580000006</v>
      </c>
    </row>
    <row r="148" spans="1:17" ht="14.5" x14ac:dyDescent="0.35">
      <c r="A148" s="184" t="s">
        <v>155</v>
      </c>
      <c r="B148" s="184" t="s">
        <v>393</v>
      </c>
      <c r="C148" s="184" t="s">
        <v>169</v>
      </c>
      <c r="D148" s="185" t="s">
        <v>287</v>
      </c>
      <c r="E148" s="185">
        <v>14345</v>
      </c>
      <c r="F148" s="185" t="s">
        <v>149</v>
      </c>
      <c r="G148" s="184">
        <v>102003</v>
      </c>
      <c r="H148" s="184" t="s">
        <v>110</v>
      </c>
      <c r="I148" s="184" t="s">
        <v>294</v>
      </c>
      <c r="J148" s="184" t="s">
        <v>295</v>
      </c>
      <c r="K148" s="184" t="s">
        <v>295</v>
      </c>
      <c r="L148" s="185">
        <v>1</v>
      </c>
      <c r="M148" s="186">
        <v>270452.51</v>
      </c>
      <c r="N148" s="186">
        <v>128000</v>
      </c>
      <c r="O148" s="125">
        <f t="shared" si="16"/>
        <v>142452.51</v>
      </c>
      <c r="P148" s="125"/>
      <c r="Q148" s="73">
        <f t="shared" si="17"/>
        <v>30858.631391000006</v>
      </c>
    </row>
    <row r="149" spans="1:17" ht="14.5" x14ac:dyDescent="0.35">
      <c r="A149" s="184" t="s">
        <v>155</v>
      </c>
      <c r="B149" s="184" t="s">
        <v>393</v>
      </c>
      <c r="C149" s="184" t="s">
        <v>169</v>
      </c>
      <c r="D149" s="185" t="s">
        <v>287</v>
      </c>
      <c r="E149" s="185">
        <v>14346</v>
      </c>
      <c r="F149" s="185" t="s">
        <v>149</v>
      </c>
      <c r="G149" s="184">
        <v>102003</v>
      </c>
      <c r="H149" s="184" t="s">
        <v>110</v>
      </c>
      <c r="I149" s="184" t="s">
        <v>294</v>
      </c>
      <c r="J149" s="184" t="s">
        <v>349</v>
      </c>
      <c r="K149" s="184" t="s">
        <v>295</v>
      </c>
      <c r="L149" s="185">
        <v>1</v>
      </c>
      <c r="M149" s="186">
        <v>134263.82</v>
      </c>
      <c r="N149" s="186">
        <v>0</v>
      </c>
      <c r="O149" s="125">
        <f t="shared" si="16"/>
        <v>134263.82</v>
      </c>
      <c r="P149" s="125"/>
      <c r="Q149" s="73">
        <f t="shared" si="17"/>
        <v>15319.501862000001</v>
      </c>
    </row>
    <row r="150" spans="1:17" ht="14.5" x14ac:dyDescent="0.35">
      <c r="A150" s="184" t="s">
        <v>155</v>
      </c>
      <c r="B150" s="184" t="s">
        <v>393</v>
      </c>
      <c r="C150" s="184" t="s">
        <v>169</v>
      </c>
      <c r="D150" s="185" t="s">
        <v>287</v>
      </c>
      <c r="E150" s="185">
        <v>14347</v>
      </c>
      <c r="F150" s="185" t="s">
        <v>149</v>
      </c>
      <c r="G150" s="184">
        <v>102005</v>
      </c>
      <c r="H150" s="184" t="s">
        <v>116</v>
      </c>
      <c r="I150" s="184" t="s">
        <v>294</v>
      </c>
      <c r="J150" s="184" t="s">
        <v>295</v>
      </c>
      <c r="K150" s="184" t="s">
        <v>295</v>
      </c>
      <c r="L150" s="185">
        <v>1</v>
      </c>
      <c r="M150" s="186">
        <v>52951.61</v>
      </c>
      <c r="N150" s="186">
        <v>12000</v>
      </c>
      <c r="O150" s="125">
        <f t="shared" si="16"/>
        <v>40951.61</v>
      </c>
      <c r="P150" s="125"/>
      <c r="Q150" s="73">
        <f t="shared" si="17"/>
        <v>6041.7787010000002</v>
      </c>
    </row>
    <row r="151" spans="1:17" ht="14.5" x14ac:dyDescent="0.35">
      <c r="A151" s="184" t="s">
        <v>155</v>
      </c>
      <c r="B151" s="184" t="s">
        <v>393</v>
      </c>
      <c r="C151" s="184" t="s">
        <v>169</v>
      </c>
      <c r="D151" s="185" t="s">
        <v>287</v>
      </c>
      <c r="E151" s="185">
        <v>14348</v>
      </c>
      <c r="F151" s="185" t="s">
        <v>149</v>
      </c>
      <c r="G151" s="184">
        <v>102061</v>
      </c>
      <c r="H151" s="184" t="s">
        <v>394</v>
      </c>
      <c r="I151" s="184" t="s">
        <v>294</v>
      </c>
      <c r="J151" s="184" t="s">
        <v>349</v>
      </c>
      <c r="K151" s="184" t="s">
        <v>295</v>
      </c>
      <c r="L151" s="185">
        <v>1</v>
      </c>
      <c r="M151" s="186">
        <v>611.5</v>
      </c>
      <c r="N151" s="186">
        <v>0</v>
      </c>
      <c r="O151" s="125">
        <f t="shared" si="16"/>
        <v>611.5</v>
      </c>
      <c r="P151" s="125"/>
      <c r="Q151" s="73">
        <f t="shared" si="17"/>
        <v>69.772150000000011</v>
      </c>
    </row>
    <row r="152" spans="1:17" ht="14.5" x14ac:dyDescent="0.35">
      <c r="A152" s="184" t="s">
        <v>155</v>
      </c>
      <c r="B152" s="184" t="s">
        <v>393</v>
      </c>
      <c r="C152" s="184" t="s">
        <v>169</v>
      </c>
      <c r="D152" s="185" t="s">
        <v>287</v>
      </c>
      <c r="E152" s="185">
        <v>14349</v>
      </c>
      <c r="F152" s="185" t="s">
        <v>149</v>
      </c>
      <c r="G152" s="184">
        <v>102062</v>
      </c>
      <c r="H152" s="184" t="s">
        <v>117</v>
      </c>
      <c r="I152" s="184" t="s">
        <v>294</v>
      </c>
      <c r="J152" s="184" t="s">
        <v>295</v>
      </c>
      <c r="K152" s="184" t="s">
        <v>295</v>
      </c>
      <c r="L152" s="185">
        <v>1</v>
      </c>
      <c r="M152" s="186">
        <v>3355.52</v>
      </c>
      <c r="N152" s="186">
        <v>0</v>
      </c>
      <c r="O152" s="125">
        <f t="shared" si="16"/>
        <v>3355.52</v>
      </c>
      <c r="P152" s="125"/>
      <c r="Q152" s="73">
        <f t="shared" si="17"/>
        <v>382.86483200000004</v>
      </c>
    </row>
    <row r="153" spans="1:17" ht="14.5" x14ac:dyDescent="0.35">
      <c r="A153" s="184" t="s">
        <v>155</v>
      </c>
      <c r="B153" s="184" t="s">
        <v>393</v>
      </c>
      <c r="C153" s="184" t="s">
        <v>169</v>
      </c>
      <c r="D153" s="185" t="s">
        <v>287</v>
      </c>
      <c r="E153" s="185">
        <v>14350</v>
      </c>
      <c r="F153" s="185" t="s">
        <v>149</v>
      </c>
      <c r="G153" s="184">
        <v>103001</v>
      </c>
      <c r="H153" s="184" t="s">
        <v>113</v>
      </c>
      <c r="I153" s="184" t="s">
        <v>294</v>
      </c>
      <c r="J153" s="184" t="s">
        <v>295</v>
      </c>
      <c r="K153" s="184" t="s">
        <v>295</v>
      </c>
      <c r="L153" s="185">
        <v>1</v>
      </c>
      <c r="M153" s="186">
        <v>126922.25</v>
      </c>
      <c r="N153" s="186">
        <v>0</v>
      </c>
      <c r="O153" s="125">
        <f t="shared" si="16"/>
        <v>126922.25</v>
      </c>
      <c r="P153" s="125"/>
      <c r="Q153" s="73">
        <f t="shared" si="17"/>
        <v>14481.828725000001</v>
      </c>
    </row>
    <row r="154" spans="1:17" ht="14.5" x14ac:dyDescent="0.35">
      <c r="A154" s="184" t="s">
        <v>155</v>
      </c>
      <c r="B154" s="184" t="s">
        <v>393</v>
      </c>
      <c r="C154" s="184" t="s">
        <v>169</v>
      </c>
      <c r="D154" s="185" t="s">
        <v>287</v>
      </c>
      <c r="E154" s="185">
        <v>14351</v>
      </c>
      <c r="F154" s="185" t="s">
        <v>149</v>
      </c>
      <c r="G154" s="184">
        <v>103001</v>
      </c>
      <c r="H154" s="184" t="s">
        <v>113</v>
      </c>
      <c r="I154" s="184" t="s">
        <v>294</v>
      </c>
      <c r="J154" s="184" t="s">
        <v>347</v>
      </c>
      <c r="K154" s="184" t="s">
        <v>295</v>
      </c>
      <c r="L154" s="185">
        <v>1</v>
      </c>
      <c r="M154" s="186">
        <v>2799.22</v>
      </c>
      <c r="N154" s="186">
        <v>0</v>
      </c>
      <c r="O154" s="125">
        <f t="shared" si="16"/>
        <v>2799.22</v>
      </c>
      <c r="P154" s="125"/>
      <c r="Q154" s="73">
        <f t="shared" si="17"/>
        <v>319.39100199999996</v>
      </c>
    </row>
    <row r="155" spans="1:17" ht="14.5" x14ac:dyDescent="0.35">
      <c r="A155" s="184" t="s">
        <v>155</v>
      </c>
      <c r="B155" s="184" t="s">
        <v>393</v>
      </c>
      <c r="C155" s="184" t="s">
        <v>169</v>
      </c>
      <c r="D155" s="185" t="s">
        <v>287</v>
      </c>
      <c r="E155" s="185">
        <v>14352</v>
      </c>
      <c r="F155" s="185" t="s">
        <v>149</v>
      </c>
      <c r="G155" s="184">
        <v>103061</v>
      </c>
      <c r="H155" s="184" t="s">
        <v>395</v>
      </c>
      <c r="I155" s="184" t="s">
        <v>294</v>
      </c>
      <c r="J155" s="184" t="s">
        <v>295</v>
      </c>
      <c r="K155" s="184" t="s">
        <v>295</v>
      </c>
      <c r="L155" s="185">
        <v>1</v>
      </c>
      <c r="M155" s="186">
        <v>0</v>
      </c>
      <c r="N155" s="186">
        <v>0</v>
      </c>
      <c r="O155" s="125">
        <f t="shared" si="16"/>
        <v>0</v>
      </c>
      <c r="P155" s="125"/>
      <c r="Q155" s="73">
        <f t="shared" si="17"/>
        <v>0</v>
      </c>
    </row>
    <row r="156" spans="1:17" ht="14.5" x14ac:dyDescent="0.35">
      <c r="A156" s="184" t="s">
        <v>155</v>
      </c>
      <c r="B156" s="184" t="s">
        <v>393</v>
      </c>
      <c r="C156" s="184" t="s">
        <v>169</v>
      </c>
      <c r="D156" s="185" t="s">
        <v>287</v>
      </c>
      <c r="E156" s="185">
        <v>14353</v>
      </c>
      <c r="F156" s="185" t="s">
        <v>149</v>
      </c>
      <c r="G156" s="184">
        <v>103069</v>
      </c>
      <c r="H156" s="184" t="s">
        <v>225</v>
      </c>
      <c r="I156" s="184" t="s">
        <v>294</v>
      </c>
      <c r="J156" s="184" t="s">
        <v>295</v>
      </c>
      <c r="K156" s="184" t="s">
        <v>295</v>
      </c>
      <c r="L156" s="185">
        <v>1</v>
      </c>
      <c r="M156" s="186">
        <v>978.64</v>
      </c>
      <c r="N156" s="186">
        <v>0</v>
      </c>
      <c r="O156" s="125">
        <f t="shared" si="16"/>
        <v>978.64</v>
      </c>
      <c r="P156" s="125"/>
      <c r="Q156" s="73">
        <f t="shared" si="17"/>
        <v>111.662824</v>
      </c>
    </row>
    <row r="157" spans="1:17" ht="14.5" x14ac:dyDescent="0.35">
      <c r="A157" s="184" t="s">
        <v>155</v>
      </c>
      <c r="B157" s="184" t="s">
        <v>393</v>
      </c>
      <c r="C157" s="184" t="s">
        <v>169</v>
      </c>
      <c r="D157" s="185" t="s">
        <v>287</v>
      </c>
      <c r="E157" s="185">
        <v>14354</v>
      </c>
      <c r="F157" s="185" t="s">
        <v>149</v>
      </c>
      <c r="G157" s="184">
        <v>104000</v>
      </c>
      <c r="H157" s="184" t="s">
        <v>114</v>
      </c>
      <c r="I157" s="184" t="s">
        <v>294</v>
      </c>
      <c r="J157" s="184" t="s">
        <v>295</v>
      </c>
      <c r="K157" s="184" t="s">
        <v>295</v>
      </c>
      <c r="L157" s="185">
        <v>1</v>
      </c>
      <c r="M157" s="186">
        <v>58750.17</v>
      </c>
      <c r="N157" s="186">
        <v>44000</v>
      </c>
      <c r="O157" s="125">
        <f t="shared" si="16"/>
        <v>14750.169999999998</v>
      </c>
      <c r="P157" s="125"/>
      <c r="Q157" s="73">
        <f t="shared" si="17"/>
        <v>6703.394397</v>
      </c>
    </row>
    <row r="158" spans="1:17" ht="14.5" x14ac:dyDescent="0.35">
      <c r="A158" s="184" t="s">
        <v>155</v>
      </c>
      <c r="B158" s="184" t="s">
        <v>393</v>
      </c>
      <c r="C158" s="184" t="s">
        <v>169</v>
      </c>
      <c r="D158" s="185" t="s">
        <v>287</v>
      </c>
      <c r="E158" s="185">
        <v>14355</v>
      </c>
      <c r="F158" s="185" t="s">
        <v>149</v>
      </c>
      <c r="G158" s="184">
        <v>104000</v>
      </c>
      <c r="H158" s="184" t="s">
        <v>114</v>
      </c>
      <c r="I158" s="184" t="s">
        <v>294</v>
      </c>
      <c r="J158" s="184" t="s">
        <v>349</v>
      </c>
      <c r="K158" s="184" t="s">
        <v>295</v>
      </c>
      <c r="L158" s="185">
        <v>1</v>
      </c>
      <c r="M158" s="186">
        <v>51985.42</v>
      </c>
      <c r="N158" s="186">
        <v>52000</v>
      </c>
      <c r="O158" s="125">
        <f t="shared" si="16"/>
        <v>-14.580000000001746</v>
      </c>
      <c r="P158" s="125"/>
      <c r="Q158" s="73">
        <f t="shared" si="17"/>
        <v>5931.5364220000001</v>
      </c>
    </row>
    <row r="159" spans="1:17" ht="14.5" x14ac:dyDescent="0.35">
      <c r="A159" s="184" t="s">
        <v>155</v>
      </c>
      <c r="B159" s="184" t="s">
        <v>393</v>
      </c>
      <c r="C159" s="184" t="s">
        <v>169</v>
      </c>
      <c r="D159" s="185" t="s">
        <v>287</v>
      </c>
      <c r="E159" s="185">
        <v>14356</v>
      </c>
      <c r="F159" s="185" t="s">
        <v>149</v>
      </c>
      <c r="G159" s="184">
        <v>105003</v>
      </c>
      <c r="H159" s="184" t="s">
        <v>317</v>
      </c>
      <c r="I159" s="184" t="s">
        <v>294</v>
      </c>
      <c r="J159" s="184" t="s">
        <v>295</v>
      </c>
      <c r="K159" s="184" t="s">
        <v>295</v>
      </c>
      <c r="L159" s="185">
        <v>1</v>
      </c>
      <c r="M159" s="186">
        <v>100621.14</v>
      </c>
      <c r="N159" s="186">
        <v>0</v>
      </c>
      <c r="O159" s="125">
        <f t="shared" si="16"/>
        <v>100621.14</v>
      </c>
      <c r="P159" s="125"/>
      <c r="Q159" s="73">
        <f t="shared" si="17"/>
        <v>11480.872074000003</v>
      </c>
    </row>
    <row r="160" spans="1:17" ht="14.5" x14ac:dyDescent="0.35">
      <c r="A160" s="184" t="s">
        <v>155</v>
      </c>
      <c r="B160" s="184" t="s">
        <v>393</v>
      </c>
      <c r="C160" s="184" t="s">
        <v>169</v>
      </c>
      <c r="D160" s="185" t="s">
        <v>287</v>
      </c>
      <c r="E160" s="185">
        <v>14357</v>
      </c>
      <c r="F160" s="185" t="s">
        <v>149</v>
      </c>
      <c r="G160" s="184">
        <v>105010</v>
      </c>
      <c r="H160" s="184" t="s">
        <v>124</v>
      </c>
      <c r="I160" s="184" t="s">
        <v>294</v>
      </c>
      <c r="J160" s="184" t="s">
        <v>295</v>
      </c>
      <c r="K160" s="184" t="s">
        <v>295</v>
      </c>
      <c r="L160" s="185">
        <v>1</v>
      </c>
      <c r="M160" s="186">
        <v>6823.3</v>
      </c>
      <c r="N160" s="186">
        <v>0</v>
      </c>
      <c r="O160" s="125">
        <f t="shared" si="16"/>
        <v>6823.3</v>
      </c>
      <c r="P160" s="125"/>
      <c r="Q160" s="73">
        <f t="shared" si="17"/>
        <v>778.53853000000004</v>
      </c>
    </row>
    <row r="161" spans="1:17" ht="14.5" x14ac:dyDescent="0.35">
      <c r="A161" s="184" t="s">
        <v>155</v>
      </c>
      <c r="B161" s="184" t="s">
        <v>393</v>
      </c>
      <c r="C161" s="184" t="s">
        <v>169</v>
      </c>
      <c r="D161" s="185" t="s">
        <v>287</v>
      </c>
      <c r="E161" s="185">
        <v>14358</v>
      </c>
      <c r="F161" s="185" t="s">
        <v>149</v>
      </c>
      <c r="G161" s="184">
        <v>105010</v>
      </c>
      <c r="H161" s="184" t="s">
        <v>124</v>
      </c>
      <c r="I161" s="184" t="s">
        <v>294</v>
      </c>
      <c r="J161" s="184" t="s">
        <v>349</v>
      </c>
      <c r="K161" s="184" t="s">
        <v>295</v>
      </c>
      <c r="L161" s="185">
        <v>1</v>
      </c>
      <c r="M161" s="186">
        <v>125.9</v>
      </c>
      <c r="N161" s="186">
        <v>0</v>
      </c>
      <c r="O161" s="125">
        <f t="shared" si="16"/>
        <v>125.9</v>
      </c>
      <c r="P161" s="125"/>
      <c r="Q161" s="73">
        <f t="shared" si="17"/>
        <v>14.365190000000002</v>
      </c>
    </row>
    <row r="162" spans="1:17" ht="14.5" x14ac:dyDescent="0.35">
      <c r="A162" s="184" t="s">
        <v>155</v>
      </c>
      <c r="B162" s="184" t="s">
        <v>393</v>
      </c>
      <c r="C162" s="184" t="s">
        <v>169</v>
      </c>
      <c r="D162" s="185" t="s">
        <v>287</v>
      </c>
      <c r="E162" s="185">
        <v>14359</v>
      </c>
      <c r="F162" s="185" t="s">
        <v>149</v>
      </c>
      <c r="G162" s="184">
        <v>105019</v>
      </c>
      <c r="H162" s="184" t="s">
        <v>115</v>
      </c>
      <c r="I162" s="184" t="s">
        <v>294</v>
      </c>
      <c r="J162" s="184" t="s">
        <v>295</v>
      </c>
      <c r="K162" s="184" t="s">
        <v>295</v>
      </c>
      <c r="L162" s="185">
        <v>1</v>
      </c>
      <c r="M162" s="186">
        <v>622.05999999999995</v>
      </c>
      <c r="N162" s="186">
        <v>0</v>
      </c>
      <c r="O162" s="125">
        <f t="shared" si="16"/>
        <v>622.05999999999995</v>
      </c>
      <c r="P162" s="125"/>
      <c r="Q162" s="73">
        <f t="shared" si="17"/>
        <v>70.977046000000001</v>
      </c>
    </row>
    <row r="163" spans="1:17" ht="14.5" x14ac:dyDescent="0.35">
      <c r="A163" s="184" t="s">
        <v>155</v>
      </c>
      <c r="B163" s="184" t="s">
        <v>393</v>
      </c>
      <c r="C163" s="184" t="s">
        <v>169</v>
      </c>
      <c r="D163" s="185" t="s">
        <v>287</v>
      </c>
      <c r="E163" s="185">
        <v>14360</v>
      </c>
      <c r="F163" s="185" t="s">
        <v>149</v>
      </c>
      <c r="G163" s="184">
        <v>105098</v>
      </c>
      <c r="H163" s="184" t="s">
        <v>314</v>
      </c>
      <c r="I163" s="184" t="s">
        <v>294</v>
      </c>
      <c r="J163" s="184" t="s">
        <v>391</v>
      </c>
      <c r="K163" s="184" t="s">
        <v>295</v>
      </c>
      <c r="L163" s="185">
        <v>1</v>
      </c>
      <c r="M163" s="186">
        <v>-4758</v>
      </c>
      <c r="N163" s="186">
        <v>0</v>
      </c>
      <c r="O163" s="125">
        <f t="shared" si="16"/>
        <v>-4758</v>
      </c>
      <c r="P163" s="125"/>
      <c r="Q163" s="73">
        <f t="shared" si="17"/>
        <v>-542.88779999999997</v>
      </c>
    </row>
    <row r="164" spans="1:17" ht="14.5" x14ac:dyDescent="0.35">
      <c r="A164" s="184" t="s">
        <v>155</v>
      </c>
      <c r="B164" s="184" t="s">
        <v>393</v>
      </c>
      <c r="C164" s="184" t="s">
        <v>169</v>
      </c>
      <c r="D164" s="185" t="s">
        <v>287</v>
      </c>
      <c r="E164" s="185">
        <v>14361</v>
      </c>
      <c r="F164" s="185" t="s">
        <v>149</v>
      </c>
      <c r="G164" s="184">
        <v>105099</v>
      </c>
      <c r="H164" s="184" t="s">
        <v>107</v>
      </c>
      <c r="I164" s="184" t="s">
        <v>294</v>
      </c>
      <c r="J164" s="184" t="s">
        <v>392</v>
      </c>
      <c r="K164" s="184" t="s">
        <v>295</v>
      </c>
      <c r="L164" s="185">
        <v>1</v>
      </c>
      <c r="M164" s="186">
        <v>4758</v>
      </c>
      <c r="N164" s="186">
        <v>0</v>
      </c>
      <c r="O164" s="125">
        <f t="shared" si="16"/>
        <v>4758</v>
      </c>
      <c r="P164" s="125"/>
      <c r="Q164" s="73">
        <f t="shared" si="17"/>
        <v>542.88779999999997</v>
      </c>
    </row>
    <row r="165" spans="1:17" ht="14.5" x14ac:dyDescent="0.35">
      <c r="A165" s="184" t="s">
        <v>155</v>
      </c>
      <c r="B165" s="184" t="s">
        <v>393</v>
      </c>
      <c r="C165" s="184" t="s">
        <v>169</v>
      </c>
      <c r="D165" s="185" t="s">
        <v>287</v>
      </c>
      <c r="E165" s="185">
        <v>14362</v>
      </c>
      <c r="F165" s="185" t="s">
        <v>149</v>
      </c>
      <c r="G165" s="189">
        <v>109001</v>
      </c>
      <c r="H165" s="184" t="s">
        <v>105</v>
      </c>
      <c r="I165" s="184" t="s">
        <v>294</v>
      </c>
      <c r="J165" s="184" t="s">
        <v>295</v>
      </c>
      <c r="K165" s="184" t="s">
        <v>295</v>
      </c>
      <c r="L165" s="185">
        <v>1</v>
      </c>
      <c r="M165" s="186">
        <v>617624.48</v>
      </c>
      <c r="N165" s="186">
        <v>573000</v>
      </c>
      <c r="O165" s="125">
        <f t="shared" si="16"/>
        <v>44624.479999999981</v>
      </c>
      <c r="P165" s="164">
        <f t="shared" ref="P165:P167" si="18">M165*-1</f>
        <v>-617624.48</v>
      </c>
    </row>
    <row r="166" spans="1:17" ht="14.5" x14ac:dyDescent="0.35">
      <c r="A166" s="184" t="s">
        <v>155</v>
      </c>
      <c r="B166" s="184" t="s">
        <v>393</v>
      </c>
      <c r="C166" s="184" t="s">
        <v>169</v>
      </c>
      <c r="D166" s="185" t="s">
        <v>287</v>
      </c>
      <c r="E166" s="185">
        <v>14363</v>
      </c>
      <c r="F166" s="185" t="s">
        <v>149</v>
      </c>
      <c r="G166" s="189">
        <v>109001</v>
      </c>
      <c r="H166" s="184" t="s">
        <v>105</v>
      </c>
      <c r="I166" s="184" t="s">
        <v>294</v>
      </c>
      <c r="J166" s="184" t="s">
        <v>349</v>
      </c>
      <c r="K166" s="184" t="s">
        <v>295</v>
      </c>
      <c r="L166" s="185">
        <v>1</v>
      </c>
      <c r="M166" s="186">
        <v>13518.2</v>
      </c>
      <c r="N166" s="186">
        <v>14000</v>
      </c>
      <c r="O166" s="125">
        <f t="shared" si="16"/>
        <v>-481.79999999999927</v>
      </c>
      <c r="P166" s="164">
        <f t="shared" si="18"/>
        <v>-13518.2</v>
      </c>
    </row>
    <row r="167" spans="1:17" ht="14.5" x14ac:dyDescent="0.35">
      <c r="A167" s="184" t="s">
        <v>155</v>
      </c>
      <c r="B167" s="184" t="s">
        <v>393</v>
      </c>
      <c r="C167" s="184" t="s">
        <v>169</v>
      </c>
      <c r="D167" s="185" t="s">
        <v>287</v>
      </c>
      <c r="E167" s="185">
        <v>14364</v>
      </c>
      <c r="F167" s="185" t="s">
        <v>149</v>
      </c>
      <c r="G167" s="189">
        <v>109001</v>
      </c>
      <c r="H167" s="184" t="s">
        <v>105</v>
      </c>
      <c r="I167" s="184" t="s">
        <v>294</v>
      </c>
      <c r="J167" s="184" t="s">
        <v>347</v>
      </c>
      <c r="K167" s="184" t="s">
        <v>295</v>
      </c>
      <c r="L167" s="185">
        <v>1</v>
      </c>
      <c r="M167" s="186">
        <v>281.83999999999997</v>
      </c>
      <c r="N167" s="186">
        <v>0</v>
      </c>
      <c r="O167" s="125">
        <f t="shared" si="16"/>
        <v>281.83999999999997</v>
      </c>
      <c r="P167" s="164">
        <f t="shared" si="18"/>
        <v>-281.83999999999997</v>
      </c>
    </row>
    <row r="168" spans="1:17" ht="14.5" x14ac:dyDescent="0.35">
      <c r="A168" s="184" t="s">
        <v>155</v>
      </c>
      <c r="B168" s="184" t="s">
        <v>393</v>
      </c>
      <c r="C168" s="184" t="s">
        <v>169</v>
      </c>
      <c r="D168" s="185" t="s">
        <v>287</v>
      </c>
      <c r="E168" s="185">
        <v>14365</v>
      </c>
      <c r="F168" s="185" t="s">
        <v>149</v>
      </c>
      <c r="G168" s="189">
        <v>109901</v>
      </c>
      <c r="H168" s="184" t="s">
        <v>106</v>
      </c>
      <c r="I168" s="184" t="s">
        <v>294</v>
      </c>
      <c r="J168" s="184" t="s">
        <v>295</v>
      </c>
      <c r="K168" s="184" t="s">
        <v>295</v>
      </c>
      <c r="L168" s="185">
        <v>1</v>
      </c>
      <c r="M168" s="186">
        <v>887538.55</v>
      </c>
      <c r="N168" s="186">
        <v>891000</v>
      </c>
      <c r="O168" s="125">
        <f t="shared" si="16"/>
        <v>-3461.4499999999534</v>
      </c>
      <c r="P168" s="164"/>
    </row>
    <row r="169" spans="1:17" ht="14.5" x14ac:dyDescent="0.35">
      <c r="A169" s="184" t="s">
        <v>155</v>
      </c>
      <c r="B169" s="184" t="s">
        <v>393</v>
      </c>
      <c r="C169" s="184" t="s">
        <v>169</v>
      </c>
      <c r="D169" s="185" t="s">
        <v>287</v>
      </c>
      <c r="E169" s="185">
        <v>14366</v>
      </c>
      <c r="F169" s="185" t="s">
        <v>149</v>
      </c>
      <c r="G169" s="189">
        <v>109901</v>
      </c>
      <c r="H169" s="184" t="s">
        <v>106</v>
      </c>
      <c r="I169" s="184" t="s">
        <v>294</v>
      </c>
      <c r="J169" s="184" t="s">
        <v>349</v>
      </c>
      <c r="K169" s="184" t="s">
        <v>295</v>
      </c>
      <c r="L169" s="185">
        <v>1</v>
      </c>
      <c r="M169" s="186">
        <v>28271.17</v>
      </c>
      <c r="N169" s="186">
        <v>28000</v>
      </c>
      <c r="O169" s="125">
        <f t="shared" si="16"/>
        <v>271.16999999999825</v>
      </c>
      <c r="P169" s="164"/>
    </row>
    <row r="170" spans="1:17" ht="14.5" x14ac:dyDescent="0.35">
      <c r="A170" s="184" t="s">
        <v>155</v>
      </c>
      <c r="B170" s="184" t="s">
        <v>393</v>
      </c>
      <c r="C170" s="184" t="s">
        <v>169</v>
      </c>
      <c r="D170" s="185" t="s">
        <v>287</v>
      </c>
      <c r="E170" s="185">
        <v>14367</v>
      </c>
      <c r="F170" s="185" t="s">
        <v>149</v>
      </c>
      <c r="G170" s="189">
        <v>109901</v>
      </c>
      <c r="H170" s="184" t="s">
        <v>106</v>
      </c>
      <c r="I170" s="184" t="s">
        <v>294</v>
      </c>
      <c r="J170" s="184" t="s">
        <v>392</v>
      </c>
      <c r="K170" s="184" t="s">
        <v>295</v>
      </c>
      <c r="L170" s="185">
        <v>1</v>
      </c>
      <c r="M170" s="186">
        <v>670.93</v>
      </c>
      <c r="N170" s="186">
        <v>0</v>
      </c>
      <c r="O170" s="125">
        <f t="shared" si="16"/>
        <v>670.93</v>
      </c>
      <c r="P170" s="164"/>
    </row>
    <row r="171" spans="1:17" ht="14.5" x14ac:dyDescent="0.35">
      <c r="A171" s="184" t="s">
        <v>155</v>
      </c>
      <c r="B171" s="184" t="s">
        <v>393</v>
      </c>
      <c r="C171" s="184" t="s">
        <v>169</v>
      </c>
      <c r="D171" s="185" t="s">
        <v>287</v>
      </c>
      <c r="E171" s="185">
        <v>14368</v>
      </c>
      <c r="F171" s="185" t="s">
        <v>149</v>
      </c>
      <c r="G171" s="189">
        <v>109901</v>
      </c>
      <c r="H171" s="184" t="s">
        <v>106</v>
      </c>
      <c r="I171" s="184" t="s">
        <v>294</v>
      </c>
      <c r="J171" s="184" t="s">
        <v>347</v>
      </c>
      <c r="K171" s="184" t="s">
        <v>295</v>
      </c>
      <c r="L171" s="185">
        <v>1</v>
      </c>
      <c r="M171" s="186">
        <v>434.42</v>
      </c>
      <c r="N171" s="186">
        <v>0</v>
      </c>
      <c r="O171" s="125">
        <f t="shared" si="16"/>
        <v>434.42</v>
      </c>
      <c r="P171" s="164"/>
    </row>
    <row r="172" spans="1:17" ht="14.5" x14ac:dyDescent="0.35">
      <c r="A172" s="184" t="s">
        <v>155</v>
      </c>
      <c r="B172" s="184" t="s">
        <v>396</v>
      </c>
      <c r="C172" s="184" t="s">
        <v>170</v>
      </c>
      <c r="D172" s="185" t="s">
        <v>287</v>
      </c>
      <c r="E172" s="185">
        <v>14450</v>
      </c>
      <c r="F172" s="185" t="s">
        <v>149</v>
      </c>
      <c r="G172" s="184">
        <v>101001</v>
      </c>
      <c r="H172" s="184" t="s">
        <v>108</v>
      </c>
      <c r="I172" s="184" t="s">
        <v>294</v>
      </c>
      <c r="J172" s="184" t="s">
        <v>295</v>
      </c>
      <c r="K172" s="184" t="s">
        <v>295</v>
      </c>
      <c r="L172" s="185">
        <v>1</v>
      </c>
      <c r="M172" s="186">
        <v>9465791.1500000004</v>
      </c>
      <c r="N172" s="186">
        <v>9967000</v>
      </c>
      <c r="O172" s="125">
        <f t="shared" si="16"/>
        <v>-501208.84999999963</v>
      </c>
      <c r="P172" s="125"/>
      <c r="Q172" s="73">
        <f t="shared" ref="Q172:Q201" si="19">M172*$Q$7*1.141</f>
        <v>1080046.770215</v>
      </c>
    </row>
    <row r="173" spans="1:17" ht="14.5" x14ac:dyDescent="0.35">
      <c r="A173" s="184" t="s">
        <v>155</v>
      </c>
      <c r="B173" s="184" t="s">
        <v>396</v>
      </c>
      <c r="C173" s="184" t="s">
        <v>170</v>
      </c>
      <c r="D173" s="185" t="s">
        <v>287</v>
      </c>
      <c r="E173" s="185">
        <v>14451</v>
      </c>
      <c r="F173" s="185" t="s">
        <v>149</v>
      </c>
      <c r="G173" s="184">
        <v>101002</v>
      </c>
      <c r="H173" s="184" t="s">
        <v>109</v>
      </c>
      <c r="I173" s="184" t="s">
        <v>294</v>
      </c>
      <c r="J173" s="184" t="s">
        <v>295</v>
      </c>
      <c r="K173" s="184" t="s">
        <v>295</v>
      </c>
      <c r="L173" s="185">
        <v>1</v>
      </c>
      <c r="M173" s="186">
        <v>63794.03</v>
      </c>
      <c r="N173" s="186">
        <v>0</v>
      </c>
      <c r="O173" s="125">
        <f t="shared" si="16"/>
        <v>63794.03</v>
      </c>
      <c r="P173" s="125"/>
      <c r="Q173" s="73">
        <f t="shared" si="19"/>
        <v>7278.8988230000004</v>
      </c>
    </row>
    <row r="174" spans="1:17" ht="14.5" x14ac:dyDescent="0.35">
      <c r="A174" s="184" t="s">
        <v>155</v>
      </c>
      <c r="B174" s="184" t="s">
        <v>396</v>
      </c>
      <c r="C174" s="184" t="s">
        <v>170</v>
      </c>
      <c r="D174" s="185" t="s">
        <v>287</v>
      </c>
      <c r="E174" s="185">
        <v>14452</v>
      </c>
      <c r="F174" s="185" t="s">
        <v>149</v>
      </c>
      <c r="G174" s="184">
        <v>101002</v>
      </c>
      <c r="H174" s="184" t="s">
        <v>109</v>
      </c>
      <c r="I174" s="184" t="s">
        <v>294</v>
      </c>
      <c r="J174" s="184" t="s">
        <v>349</v>
      </c>
      <c r="K174" s="184" t="s">
        <v>295</v>
      </c>
      <c r="L174" s="185">
        <v>1</v>
      </c>
      <c r="M174" s="186">
        <v>3270.46</v>
      </c>
      <c r="N174" s="186">
        <v>13000</v>
      </c>
      <c r="O174" s="125">
        <f t="shared" si="16"/>
        <v>-9729.5400000000009</v>
      </c>
      <c r="P174" s="125"/>
      <c r="Q174" s="73">
        <f t="shared" si="19"/>
        <v>373.15948600000007</v>
      </c>
    </row>
    <row r="175" spans="1:17" ht="14.5" x14ac:dyDescent="0.35">
      <c r="A175" s="184" t="s">
        <v>155</v>
      </c>
      <c r="B175" s="184" t="s">
        <v>396</v>
      </c>
      <c r="C175" s="184" t="s">
        <v>170</v>
      </c>
      <c r="D175" s="185" t="s">
        <v>287</v>
      </c>
      <c r="E175" s="185">
        <v>14453</v>
      </c>
      <c r="F175" s="185" t="s">
        <v>149</v>
      </c>
      <c r="G175" s="184">
        <v>101002</v>
      </c>
      <c r="H175" s="184" t="s">
        <v>109</v>
      </c>
      <c r="I175" s="184" t="s">
        <v>294</v>
      </c>
      <c r="J175" s="184" t="s">
        <v>347</v>
      </c>
      <c r="K175" s="184" t="s">
        <v>295</v>
      </c>
      <c r="L175" s="185">
        <v>1</v>
      </c>
      <c r="M175" s="186">
        <v>3613.34</v>
      </c>
      <c r="N175" s="186">
        <v>0</v>
      </c>
      <c r="O175" s="125">
        <f t="shared" si="16"/>
        <v>3613.34</v>
      </c>
      <c r="P175" s="125"/>
      <c r="Q175" s="73">
        <f t="shared" si="19"/>
        <v>412.28209400000009</v>
      </c>
    </row>
    <row r="176" spans="1:17" ht="14.5" x14ac:dyDescent="0.35">
      <c r="A176" s="184" t="s">
        <v>155</v>
      </c>
      <c r="B176" s="184" t="s">
        <v>396</v>
      </c>
      <c r="C176" s="184" t="s">
        <v>170</v>
      </c>
      <c r="D176" s="185" t="s">
        <v>287</v>
      </c>
      <c r="E176" s="185">
        <v>14454</v>
      </c>
      <c r="F176" s="185" t="s">
        <v>149</v>
      </c>
      <c r="G176" s="184">
        <v>101031</v>
      </c>
      <c r="H176" s="184" t="s">
        <v>156</v>
      </c>
      <c r="I176" s="184" t="s">
        <v>294</v>
      </c>
      <c r="J176" s="184" t="s">
        <v>295</v>
      </c>
      <c r="K176" s="184" t="s">
        <v>295</v>
      </c>
      <c r="L176" s="185">
        <v>1</v>
      </c>
      <c r="M176" s="186">
        <v>18706.87</v>
      </c>
      <c r="N176" s="186">
        <v>0</v>
      </c>
      <c r="O176" s="125">
        <f t="shared" si="16"/>
        <v>18706.87</v>
      </c>
      <c r="P176" s="125"/>
      <c r="Q176" s="73">
        <f t="shared" si="19"/>
        <v>2134.4538669999997</v>
      </c>
    </row>
    <row r="177" spans="1:17" ht="14.5" x14ac:dyDescent="0.35">
      <c r="A177" s="184" t="s">
        <v>155</v>
      </c>
      <c r="B177" s="184" t="s">
        <v>396</v>
      </c>
      <c r="C177" s="184" t="s">
        <v>170</v>
      </c>
      <c r="D177" s="185" t="s">
        <v>287</v>
      </c>
      <c r="E177" s="185">
        <v>14455</v>
      </c>
      <c r="F177" s="185" t="s">
        <v>149</v>
      </c>
      <c r="G177" s="184">
        <v>101039</v>
      </c>
      <c r="H177" s="184" t="s">
        <v>111</v>
      </c>
      <c r="I177" s="184" t="s">
        <v>294</v>
      </c>
      <c r="J177" s="184" t="s">
        <v>295</v>
      </c>
      <c r="K177" s="184" t="s">
        <v>295</v>
      </c>
      <c r="L177" s="185">
        <v>1</v>
      </c>
      <c r="M177" s="186">
        <v>362147.21</v>
      </c>
      <c r="N177" s="186">
        <v>7000</v>
      </c>
      <c r="O177" s="125">
        <f t="shared" si="16"/>
        <v>355147.21</v>
      </c>
      <c r="P177" s="125"/>
      <c r="Q177" s="73">
        <f t="shared" si="19"/>
        <v>41320.996661000005</v>
      </c>
    </row>
    <row r="178" spans="1:17" ht="14.5" x14ac:dyDescent="0.35">
      <c r="A178" s="184" t="s">
        <v>155</v>
      </c>
      <c r="B178" s="184" t="s">
        <v>396</v>
      </c>
      <c r="C178" s="184" t="s">
        <v>170</v>
      </c>
      <c r="D178" s="185" t="s">
        <v>287</v>
      </c>
      <c r="E178" s="185">
        <v>14456</v>
      </c>
      <c r="F178" s="185" t="s">
        <v>149</v>
      </c>
      <c r="G178" s="184">
        <v>102002</v>
      </c>
      <c r="H178" s="184" t="s">
        <v>112</v>
      </c>
      <c r="I178" s="184" t="s">
        <v>294</v>
      </c>
      <c r="J178" s="184" t="s">
        <v>295</v>
      </c>
      <c r="K178" s="184" t="s">
        <v>295</v>
      </c>
      <c r="L178" s="185">
        <v>1</v>
      </c>
      <c r="M178" s="186">
        <v>20583.47</v>
      </c>
      <c r="N178" s="186">
        <v>0</v>
      </c>
      <c r="O178" s="125">
        <f t="shared" si="16"/>
        <v>20583.47</v>
      </c>
      <c r="P178" s="125"/>
      <c r="Q178" s="73">
        <f t="shared" si="19"/>
        <v>2348.5739270000004</v>
      </c>
    </row>
    <row r="179" spans="1:17" ht="14.5" x14ac:dyDescent="0.35">
      <c r="A179" s="184" t="s">
        <v>155</v>
      </c>
      <c r="B179" s="184" t="s">
        <v>396</v>
      </c>
      <c r="C179" s="184" t="s">
        <v>170</v>
      </c>
      <c r="D179" s="185" t="s">
        <v>287</v>
      </c>
      <c r="E179" s="185">
        <v>14457</v>
      </c>
      <c r="F179" s="185" t="s">
        <v>149</v>
      </c>
      <c r="G179" s="184">
        <v>102003</v>
      </c>
      <c r="H179" s="184" t="s">
        <v>110</v>
      </c>
      <c r="I179" s="184" t="s">
        <v>294</v>
      </c>
      <c r="J179" s="184" t="s">
        <v>295</v>
      </c>
      <c r="K179" s="184" t="s">
        <v>295</v>
      </c>
      <c r="L179" s="185">
        <v>1</v>
      </c>
      <c r="M179" s="186">
        <v>196798.59</v>
      </c>
      <c r="N179" s="186">
        <v>235000</v>
      </c>
      <c r="O179" s="125">
        <f t="shared" si="16"/>
        <v>-38201.410000000003</v>
      </c>
      <c r="P179" s="125"/>
      <c r="Q179" s="73">
        <f t="shared" si="19"/>
        <v>22454.719119000001</v>
      </c>
    </row>
    <row r="180" spans="1:17" ht="14.5" x14ac:dyDescent="0.35">
      <c r="A180" s="184" t="s">
        <v>155</v>
      </c>
      <c r="B180" s="184" t="s">
        <v>396</v>
      </c>
      <c r="C180" s="184" t="s">
        <v>170</v>
      </c>
      <c r="D180" s="185" t="s">
        <v>287</v>
      </c>
      <c r="E180" s="185">
        <v>14458</v>
      </c>
      <c r="F180" s="185" t="s">
        <v>149</v>
      </c>
      <c r="G180" s="184">
        <v>102003</v>
      </c>
      <c r="H180" s="184" t="s">
        <v>110</v>
      </c>
      <c r="I180" s="184" t="s">
        <v>294</v>
      </c>
      <c r="J180" s="184" t="s">
        <v>349</v>
      </c>
      <c r="K180" s="184" t="s">
        <v>295</v>
      </c>
      <c r="L180" s="185">
        <v>1</v>
      </c>
      <c r="M180" s="186">
        <v>8091.55</v>
      </c>
      <c r="N180" s="186">
        <v>0</v>
      </c>
      <c r="O180" s="125">
        <f t="shared" si="16"/>
        <v>8091.55</v>
      </c>
      <c r="P180" s="125"/>
      <c r="Q180" s="73">
        <f t="shared" si="19"/>
        <v>923.24585500000012</v>
      </c>
    </row>
    <row r="181" spans="1:17" ht="14.5" x14ac:dyDescent="0.35">
      <c r="A181" s="184" t="s">
        <v>155</v>
      </c>
      <c r="B181" s="184" t="s">
        <v>396</v>
      </c>
      <c r="C181" s="184" t="s">
        <v>170</v>
      </c>
      <c r="D181" s="185" t="s">
        <v>287</v>
      </c>
      <c r="E181" s="185">
        <v>14459</v>
      </c>
      <c r="F181" s="185" t="s">
        <v>149</v>
      </c>
      <c r="G181" s="184">
        <v>102005</v>
      </c>
      <c r="H181" s="184" t="s">
        <v>116</v>
      </c>
      <c r="I181" s="184" t="s">
        <v>294</v>
      </c>
      <c r="J181" s="184" t="s">
        <v>295</v>
      </c>
      <c r="K181" s="184" t="s">
        <v>295</v>
      </c>
      <c r="L181" s="185">
        <v>1</v>
      </c>
      <c r="M181" s="186">
        <v>166035.06</v>
      </c>
      <c r="N181" s="186">
        <v>0</v>
      </c>
      <c r="O181" s="125">
        <f t="shared" si="16"/>
        <v>166035.06</v>
      </c>
      <c r="P181" s="125"/>
      <c r="Q181" s="73">
        <f t="shared" si="19"/>
        <v>18944.600346000003</v>
      </c>
    </row>
    <row r="182" spans="1:17" ht="14.5" x14ac:dyDescent="0.35">
      <c r="A182" s="184" t="s">
        <v>155</v>
      </c>
      <c r="B182" s="184" t="s">
        <v>396</v>
      </c>
      <c r="C182" s="184" t="s">
        <v>170</v>
      </c>
      <c r="D182" s="185" t="s">
        <v>287</v>
      </c>
      <c r="E182" s="185">
        <v>14460</v>
      </c>
      <c r="F182" s="185" t="s">
        <v>149</v>
      </c>
      <c r="G182" s="184">
        <v>102005</v>
      </c>
      <c r="H182" s="184" t="s">
        <v>116</v>
      </c>
      <c r="I182" s="184" t="s">
        <v>294</v>
      </c>
      <c r="J182" s="184" t="s">
        <v>349</v>
      </c>
      <c r="K182" s="184" t="s">
        <v>295</v>
      </c>
      <c r="L182" s="185">
        <v>1</v>
      </c>
      <c r="M182" s="186">
        <v>283.08</v>
      </c>
      <c r="N182" s="186">
        <v>0</v>
      </c>
      <c r="O182" s="125">
        <f t="shared" si="16"/>
        <v>283.08</v>
      </c>
      <c r="P182" s="125"/>
      <c r="Q182" s="73">
        <f t="shared" si="19"/>
        <v>32.299427999999999</v>
      </c>
    </row>
    <row r="183" spans="1:17" ht="14.5" x14ac:dyDescent="0.35">
      <c r="A183" s="184" t="s">
        <v>155</v>
      </c>
      <c r="B183" s="184" t="s">
        <v>396</v>
      </c>
      <c r="C183" s="184" t="s">
        <v>170</v>
      </c>
      <c r="D183" s="185" t="s">
        <v>287</v>
      </c>
      <c r="E183" s="185">
        <v>14461</v>
      </c>
      <c r="F183" s="185" t="s">
        <v>149</v>
      </c>
      <c r="G183" s="184">
        <v>102060</v>
      </c>
      <c r="H183" s="184" t="s">
        <v>301</v>
      </c>
      <c r="I183" s="184" t="s">
        <v>294</v>
      </c>
      <c r="J183" s="184" t="s">
        <v>295</v>
      </c>
      <c r="K183" s="184" t="s">
        <v>295</v>
      </c>
      <c r="L183" s="185">
        <v>1</v>
      </c>
      <c r="M183" s="186">
        <v>296.8</v>
      </c>
      <c r="N183" s="186">
        <v>0</v>
      </c>
      <c r="O183" s="125">
        <f t="shared" si="16"/>
        <v>296.8</v>
      </c>
      <c r="P183" s="125"/>
      <c r="Q183" s="73">
        <f t="shared" si="19"/>
        <v>33.864880000000007</v>
      </c>
    </row>
    <row r="184" spans="1:17" ht="14.5" x14ac:dyDescent="0.35">
      <c r="A184" s="184" t="s">
        <v>155</v>
      </c>
      <c r="B184" s="184" t="s">
        <v>396</v>
      </c>
      <c r="C184" s="184" t="s">
        <v>170</v>
      </c>
      <c r="D184" s="185" t="s">
        <v>287</v>
      </c>
      <c r="E184" s="185">
        <v>14462</v>
      </c>
      <c r="F184" s="185" t="s">
        <v>149</v>
      </c>
      <c r="G184" s="184">
        <v>102062</v>
      </c>
      <c r="H184" s="184" t="s">
        <v>117</v>
      </c>
      <c r="I184" s="184" t="s">
        <v>294</v>
      </c>
      <c r="J184" s="184" t="s">
        <v>295</v>
      </c>
      <c r="K184" s="184" t="s">
        <v>295</v>
      </c>
      <c r="L184" s="185">
        <v>1</v>
      </c>
      <c r="M184" s="186">
        <v>7982.29</v>
      </c>
      <c r="N184" s="186">
        <v>0</v>
      </c>
      <c r="O184" s="125">
        <f t="shared" si="16"/>
        <v>7982.29</v>
      </c>
      <c r="P184" s="125"/>
      <c r="Q184" s="73">
        <f t="shared" si="19"/>
        <v>910.77928900000006</v>
      </c>
    </row>
    <row r="185" spans="1:17" ht="14.5" x14ac:dyDescent="0.35">
      <c r="A185" s="184" t="s">
        <v>155</v>
      </c>
      <c r="B185" s="184" t="s">
        <v>396</v>
      </c>
      <c r="C185" s="184" t="s">
        <v>170</v>
      </c>
      <c r="D185" s="185" t="s">
        <v>287</v>
      </c>
      <c r="E185" s="185">
        <v>14463</v>
      </c>
      <c r="F185" s="185" t="s">
        <v>149</v>
      </c>
      <c r="G185" s="184">
        <v>103001</v>
      </c>
      <c r="H185" s="184" t="s">
        <v>113</v>
      </c>
      <c r="I185" s="184" t="s">
        <v>294</v>
      </c>
      <c r="J185" s="184" t="s">
        <v>295</v>
      </c>
      <c r="K185" s="184" t="s">
        <v>295</v>
      </c>
      <c r="L185" s="185">
        <v>1</v>
      </c>
      <c r="M185" s="186">
        <v>85952.7</v>
      </c>
      <c r="N185" s="186">
        <v>0</v>
      </c>
      <c r="O185" s="125">
        <f t="shared" si="16"/>
        <v>85952.7</v>
      </c>
      <c r="P185" s="125"/>
      <c r="Q185" s="73">
        <f t="shared" si="19"/>
        <v>9807.2030700000014</v>
      </c>
    </row>
    <row r="186" spans="1:17" ht="14.5" x14ac:dyDescent="0.35">
      <c r="A186" s="184" t="s">
        <v>155</v>
      </c>
      <c r="B186" s="184" t="s">
        <v>396</v>
      </c>
      <c r="C186" s="184" t="s">
        <v>170</v>
      </c>
      <c r="D186" s="185" t="s">
        <v>287</v>
      </c>
      <c r="E186" s="185">
        <v>14464</v>
      </c>
      <c r="F186" s="185" t="s">
        <v>149</v>
      </c>
      <c r="G186" s="184">
        <v>103001</v>
      </c>
      <c r="H186" s="184" t="s">
        <v>113</v>
      </c>
      <c r="I186" s="184" t="s">
        <v>294</v>
      </c>
      <c r="J186" s="184" t="s">
        <v>349</v>
      </c>
      <c r="K186" s="184" t="s">
        <v>295</v>
      </c>
      <c r="L186" s="185">
        <v>1</v>
      </c>
      <c r="M186" s="186">
        <v>520.46</v>
      </c>
      <c r="N186" s="186">
        <v>0</v>
      </c>
      <c r="O186" s="125">
        <f t="shared" si="16"/>
        <v>520.46</v>
      </c>
      <c r="P186" s="125"/>
      <c r="Q186" s="73">
        <f t="shared" si="19"/>
        <v>59.38448600000001</v>
      </c>
    </row>
    <row r="187" spans="1:17" ht="14.5" x14ac:dyDescent="0.35">
      <c r="A187" s="184" t="s">
        <v>155</v>
      </c>
      <c r="B187" s="184" t="s">
        <v>396</v>
      </c>
      <c r="C187" s="184" t="s">
        <v>170</v>
      </c>
      <c r="D187" s="185" t="s">
        <v>287</v>
      </c>
      <c r="E187" s="185">
        <v>14465</v>
      </c>
      <c r="F187" s="185" t="s">
        <v>149</v>
      </c>
      <c r="G187" s="184">
        <v>103001</v>
      </c>
      <c r="H187" s="184" t="s">
        <v>113</v>
      </c>
      <c r="I187" s="184" t="s">
        <v>294</v>
      </c>
      <c r="J187" s="184" t="s">
        <v>347</v>
      </c>
      <c r="K187" s="184" t="s">
        <v>295</v>
      </c>
      <c r="L187" s="185">
        <v>1</v>
      </c>
      <c r="M187" s="186">
        <v>3201.92</v>
      </c>
      <c r="N187" s="186">
        <v>0</v>
      </c>
      <c r="O187" s="125">
        <f t="shared" si="16"/>
        <v>3201.92</v>
      </c>
      <c r="P187" s="125"/>
      <c r="Q187" s="73">
        <f t="shared" si="19"/>
        <v>365.33907199999999</v>
      </c>
    </row>
    <row r="188" spans="1:17" ht="14.5" x14ac:dyDescent="0.35">
      <c r="A188" s="184" t="s">
        <v>155</v>
      </c>
      <c r="B188" s="184" t="s">
        <v>396</v>
      </c>
      <c r="C188" s="184" t="s">
        <v>170</v>
      </c>
      <c r="D188" s="185" t="s">
        <v>287</v>
      </c>
      <c r="E188" s="185">
        <v>14466</v>
      </c>
      <c r="F188" s="185" t="s">
        <v>149</v>
      </c>
      <c r="G188" s="184">
        <v>103061</v>
      </c>
      <c r="H188" s="184" t="s">
        <v>395</v>
      </c>
      <c r="I188" s="184" t="s">
        <v>294</v>
      </c>
      <c r="J188" s="184" t="s">
        <v>295</v>
      </c>
      <c r="K188" s="184" t="s">
        <v>295</v>
      </c>
      <c r="L188" s="185">
        <v>1</v>
      </c>
      <c r="M188" s="186">
        <v>2249.1799999999998</v>
      </c>
      <c r="N188" s="186">
        <v>0</v>
      </c>
      <c r="O188" s="125">
        <f t="shared" si="16"/>
        <v>2249.1799999999998</v>
      </c>
      <c r="P188" s="125"/>
      <c r="Q188" s="73">
        <f t="shared" si="19"/>
        <v>256.631438</v>
      </c>
    </row>
    <row r="189" spans="1:17" ht="14.5" x14ac:dyDescent="0.35">
      <c r="A189" s="184" t="s">
        <v>155</v>
      </c>
      <c r="B189" s="184" t="s">
        <v>396</v>
      </c>
      <c r="C189" s="184" t="s">
        <v>170</v>
      </c>
      <c r="D189" s="185" t="s">
        <v>287</v>
      </c>
      <c r="E189" s="185">
        <v>14467</v>
      </c>
      <c r="F189" s="185" t="s">
        <v>149</v>
      </c>
      <c r="G189" s="184">
        <v>103062</v>
      </c>
      <c r="H189" s="184" t="s">
        <v>118</v>
      </c>
      <c r="I189" s="184" t="s">
        <v>294</v>
      </c>
      <c r="J189" s="184" t="s">
        <v>295</v>
      </c>
      <c r="K189" s="184" t="s">
        <v>295</v>
      </c>
      <c r="L189" s="185">
        <v>1</v>
      </c>
      <c r="M189" s="186">
        <v>184.8</v>
      </c>
      <c r="N189" s="186">
        <v>0</v>
      </c>
      <c r="O189" s="125">
        <f t="shared" si="16"/>
        <v>184.8</v>
      </c>
      <c r="P189" s="125"/>
      <c r="Q189" s="73">
        <f t="shared" si="19"/>
        <v>21.08568</v>
      </c>
    </row>
    <row r="190" spans="1:17" ht="14.5" x14ac:dyDescent="0.35">
      <c r="A190" s="184" t="s">
        <v>155</v>
      </c>
      <c r="B190" s="184" t="s">
        <v>396</v>
      </c>
      <c r="C190" s="184" t="s">
        <v>170</v>
      </c>
      <c r="D190" s="185" t="s">
        <v>287</v>
      </c>
      <c r="E190" s="185">
        <v>14468</v>
      </c>
      <c r="F190" s="185" t="s">
        <v>149</v>
      </c>
      <c r="G190" s="184">
        <v>103062</v>
      </c>
      <c r="H190" s="184" t="s">
        <v>118</v>
      </c>
      <c r="I190" s="184" t="s">
        <v>294</v>
      </c>
      <c r="J190" s="184" t="s">
        <v>349</v>
      </c>
      <c r="K190" s="184" t="s">
        <v>295</v>
      </c>
      <c r="L190" s="185">
        <v>1</v>
      </c>
      <c r="M190" s="186">
        <v>31.36</v>
      </c>
      <c r="N190" s="186">
        <v>0</v>
      </c>
      <c r="O190" s="125">
        <f t="shared" si="16"/>
        <v>31.36</v>
      </c>
      <c r="P190" s="125"/>
      <c r="Q190" s="73">
        <f t="shared" si="19"/>
        <v>3.578176</v>
      </c>
    </row>
    <row r="191" spans="1:17" ht="14.5" x14ac:dyDescent="0.35">
      <c r="A191" s="184" t="s">
        <v>155</v>
      </c>
      <c r="B191" s="184" t="s">
        <v>396</v>
      </c>
      <c r="C191" s="184" t="s">
        <v>170</v>
      </c>
      <c r="D191" s="185" t="s">
        <v>287</v>
      </c>
      <c r="E191" s="185">
        <v>14469</v>
      </c>
      <c r="F191" s="185" t="s">
        <v>149</v>
      </c>
      <c r="G191" s="184">
        <v>103069</v>
      </c>
      <c r="H191" s="184" t="s">
        <v>225</v>
      </c>
      <c r="I191" s="184" t="s">
        <v>294</v>
      </c>
      <c r="J191" s="184" t="s">
        <v>295</v>
      </c>
      <c r="K191" s="184" t="s">
        <v>295</v>
      </c>
      <c r="L191" s="185">
        <v>1</v>
      </c>
      <c r="M191" s="186">
        <v>20987.94</v>
      </c>
      <c r="N191" s="186">
        <v>0</v>
      </c>
      <c r="O191" s="125">
        <f t="shared" si="16"/>
        <v>20987.94</v>
      </c>
      <c r="P191" s="125"/>
      <c r="Q191" s="73">
        <f t="shared" si="19"/>
        <v>2394.723954</v>
      </c>
    </row>
    <row r="192" spans="1:17" ht="14.5" x14ac:dyDescent="0.35">
      <c r="A192" s="184" t="s">
        <v>155</v>
      </c>
      <c r="B192" s="184" t="s">
        <v>396</v>
      </c>
      <c r="C192" s="184" t="s">
        <v>170</v>
      </c>
      <c r="D192" s="185" t="s">
        <v>287</v>
      </c>
      <c r="E192" s="185">
        <v>14470</v>
      </c>
      <c r="F192" s="185" t="s">
        <v>149</v>
      </c>
      <c r="G192" s="184">
        <v>104000</v>
      </c>
      <c r="H192" s="184" t="s">
        <v>114</v>
      </c>
      <c r="I192" s="184" t="s">
        <v>294</v>
      </c>
      <c r="J192" s="184" t="s">
        <v>295</v>
      </c>
      <c r="K192" s="184" t="s">
        <v>295</v>
      </c>
      <c r="L192" s="185">
        <v>1</v>
      </c>
      <c r="M192" s="186">
        <v>52696.13</v>
      </c>
      <c r="N192" s="186">
        <v>84000</v>
      </c>
      <c r="O192" s="125">
        <f t="shared" si="16"/>
        <v>-31303.870000000003</v>
      </c>
      <c r="P192" s="125"/>
      <c r="Q192" s="73">
        <f t="shared" si="19"/>
        <v>6012.6284330000008</v>
      </c>
    </row>
    <row r="193" spans="1:17" ht="14.5" x14ac:dyDescent="0.35">
      <c r="A193" s="184" t="s">
        <v>155</v>
      </c>
      <c r="B193" s="184" t="s">
        <v>396</v>
      </c>
      <c r="C193" s="184" t="s">
        <v>170</v>
      </c>
      <c r="D193" s="185" t="s">
        <v>287</v>
      </c>
      <c r="E193" s="185">
        <v>14471</v>
      </c>
      <c r="F193" s="185" t="s">
        <v>149</v>
      </c>
      <c r="G193" s="184">
        <v>104000</v>
      </c>
      <c r="H193" s="184" t="s">
        <v>114</v>
      </c>
      <c r="I193" s="184" t="s">
        <v>294</v>
      </c>
      <c r="J193" s="184" t="s">
        <v>349</v>
      </c>
      <c r="K193" s="184" t="s">
        <v>295</v>
      </c>
      <c r="L193" s="185">
        <v>1</v>
      </c>
      <c r="M193" s="186">
        <v>45591.43</v>
      </c>
      <c r="N193" s="186">
        <v>52000</v>
      </c>
      <c r="O193" s="125">
        <f t="shared" si="16"/>
        <v>-6408.57</v>
      </c>
      <c r="P193" s="125"/>
      <c r="Q193" s="73">
        <f t="shared" si="19"/>
        <v>5201.9821629999997</v>
      </c>
    </row>
    <row r="194" spans="1:17" ht="14.5" x14ac:dyDescent="0.35">
      <c r="A194" s="184" t="s">
        <v>155</v>
      </c>
      <c r="B194" s="184" t="s">
        <v>396</v>
      </c>
      <c r="C194" s="184" t="s">
        <v>170</v>
      </c>
      <c r="D194" s="185" t="s">
        <v>287</v>
      </c>
      <c r="E194" s="185">
        <v>14472</v>
      </c>
      <c r="F194" s="185" t="s">
        <v>149</v>
      </c>
      <c r="G194" s="184">
        <v>105003</v>
      </c>
      <c r="H194" s="184" t="s">
        <v>317</v>
      </c>
      <c r="I194" s="184" t="s">
        <v>294</v>
      </c>
      <c r="J194" s="184" t="s">
        <v>295</v>
      </c>
      <c r="K194" s="184" t="s">
        <v>295</v>
      </c>
      <c r="L194" s="185">
        <v>1</v>
      </c>
      <c r="M194" s="186">
        <v>253892.49</v>
      </c>
      <c r="N194" s="186">
        <v>0</v>
      </c>
      <c r="O194" s="125">
        <f t="shared" si="16"/>
        <v>253892.49</v>
      </c>
      <c r="P194" s="125"/>
      <c r="Q194" s="73">
        <f t="shared" si="19"/>
        <v>28969.133108999999</v>
      </c>
    </row>
    <row r="195" spans="1:17" ht="14.5" x14ac:dyDescent="0.35">
      <c r="A195" s="184" t="s">
        <v>155</v>
      </c>
      <c r="B195" s="184" t="s">
        <v>396</v>
      </c>
      <c r="C195" s="184" t="s">
        <v>170</v>
      </c>
      <c r="D195" s="185" t="s">
        <v>287</v>
      </c>
      <c r="E195" s="185">
        <v>14473</v>
      </c>
      <c r="F195" s="185" t="s">
        <v>149</v>
      </c>
      <c r="G195" s="184">
        <v>105009</v>
      </c>
      <c r="H195" s="184" t="s">
        <v>302</v>
      </c>
      <c r="I195" s="184" t="s">
        <v>294</v>
      </c>
      <c r="J195" s="184" t="s">
        <v>386</v>
      </c>
      <c r="K195" s="184" t="s">
        <v>295</v>
      </c>
      <c r="L195" s="185">
        <v>1</v>
      </c>
      <c r="M195" s="186">
        <v>87642</v>
      </c>
      <c r="N195" s="186">
        <v>0</v>
      </c>
      <c r="O195" s="125">
        <f t="shared" si="16"/>
        <v>87642</v>
      </c>
      <c r="P195" s="125"/>
      <c r="Q195" s="73">
        <f t="shared" si="19"/>
        <v>9999.9522000000015</v>
      </c>
    </row>
    <row r="196" spans="1:17" ht="14.5" x14ac:dyDescent="0.35">
      <c r="A196" s="184" t="s">
        <v>155</v>
      </c>
      <c r="B196" s="184" t="s">
        <v>396</v>
      </c>
      <c r="C196" s="184" t="s">
        <v>170</v>
      </c>
      <c r="D196" s="185" t="s">
        <v>287</v>
      </c>
      <c r="E196" s="185">
        <v>14474</v>
      </c>
      <c r="F196" s="185" t="s">
        <v>149</v>
      </c>
      <c r="G196" s="184">
        <v>105010</v>
      </c>
      <c r="H196" s="184" t="s">
        <v>124</v>
      </c>
      <c r="I196" s="184" t="s">
        <v>294</v>
      </c>
      <c r="J196" s="184" t="s">
        <v>295</v>
      </c>
      <c r="K196" s="184" t="s">
        <v>295</v>
      </c>
      <c r="L196" s="185">
        <v>1</v>
      </c>
      <c r="M196" s="186">
        <v>5631.62</v>
      </c>
      <c r="N196" s="186">
        <v>0</v>
      </c>
      <c r="O196" s="125">
        <f t="shared" si="16"/>
        <v>5631.62</v>
      </c>
      <c r="P196" s="125"/>
      <c r="Q196" s="73">
        <f t="shared" si="19"/>
        <v>642.56784200000004</v>
      </c>
    </row>
    <row r="197" spans="1:17" ht="14.5" x14ac:dyDescent="0.35">
      <c r="A197" s="184" t="s">
        <v>155</v>
      </c>
      <c r="B197" s="184" t="s">
        <v>396</v>
      </c>
      <c r="C197" s="184" t="s">
        <v>170</v>
      </c>
      <c r="D197" s="185" t="s">
        <v>287</v>
      </c>
      <c r="E197" s="185">
        <v>14475</v>
      </c>
      <c r="F197" s="185" t="s">
        <v>149</v>
      </c>
      <c r="G197" s="184">
        <v>105010</v>
      </c>
      <c r="H197" s="184" t="s">
        <v>124</v>
      </c>
      <c r="I197" s="184" t="s">
        <v>294</v>
      </c>
      <c r="J197" s="184" t="s">
        <v>349</v>
      </c>
      <c r="K197" s="184" t="s">
        <v>295</v>
      </c>
      <c r="L197" s="185">
        <v>1</v>
      </c>
      <c r="M197" s="186">
        <v>4625.92</v>
      </c>
      <c r="N197" s="186">
        <v>0</v>
      </c>
      <c r="O197" s="125">
        <f t="shared" si="16"/>
        <v>4625.92</v>
      </c>
      <c r="P197" s="125"/>
      <c r="Q197" s="73">
        <f t="shared" si="19"/>
        <v>527.81747200000007</v>
      </c>
    </row>
    <row r="198" spans="1:17" ht="14.5" x14ac:dyDescent="0.35">
      <c r="A198" s="184" t="s">
        <v>155</v>
      </c>
      <c r="B198" s="184" t="s">
        <v>396</v>
      </c>
      <c r="C198" s="184" t="s">
        <v>170</v>
      </c>
      <c r="D198" s="185" t="s">
        <v>287</v>
      </c>
      <c r="E198" s="185">
        <v>14476</v>
      </c>
      <c r="F198" s="185" t="s">
        <v>149</v>
      </c>
      <c r="G198" s="184">
        <v>105019</v>
      </c>
      <c r="H198" s="184" t="s">
        <v>115</v>
      </c>
      <c r="I198" s="184" t="s">
        <v>294</v>
      </c>
      <c r="J198" s="184" t="s">
        <v>295</v>
      </c>
      <c r="K198" s="184" t="s">
        <v>295</v>
      </c>
      <c r="L198" s="185">
        <v>1</v>
      </c>
      <c r="M198" s="186">
        <v>690.81</v>
      </c>
      <c r="N198" s="186">
        <v>0</v>
      </c>
      <c r="O198" s="125">
        <f t="shared" si="16"/>
        <v>690.81</v>
      </c>
      <c r="P198" s="125"/>
      <c r="Q198" s="73">
        <f t="shared" si="19"/>
        <v>78.821421000000001</v>
      </c>
    </row>
    <row r="199" spans="1:17" ht="14.5" x14ac:dyDescent="0.35">
      <c r="A199" s="184" t="s">
        <v>155</v>
      </c>
      <c r="B199" s="184" t="s">
        <v>396</v>
      </c>
      <c r="C199" s="184" t="s">
        <v>170</v>
      </c>
      <c r="D199" s="185" t="s">
        <v>287</v>
      </c>
      <c r="E199" s="185">
        <v>14477</v>
      </c>
      <c r="F199" s="185" t="s">
        <v>149</v>
      </c>
      <c r="G199" s="184">
        <v>105019</v>
      </c>
      <c r="H199" s="184" t="s">
        <v>115</v>
      </c>
      <c r="I199" s="184" t="s">
        <v>294</v>
      </c>
      <c r="J199" s="184" t="s">
        <v>349</v>
      </c>
      <c r="K199" s="184" t="s">
        <v>295</v>
      </c>
      <c r="L199" s="185">
        <v>1</v>
      </c>
      <c r="M199" s="186">
        <v>16.850000000000001</v>
      </c>
      <c r="N199" s="186">
        <v>0</v>
      </c>
      <c r="O199" s="125">
        <f t="shared" si="16"/>
        <v>16.850000000000001</v>
      </c>
      <c r="P199" s="125"/>
      <c r="Q199" s="73">
        <f t="shared" si="19"/>
        <v>1.9225850000000004</v>
      </c>
    </row>
    <row r="200" spans="1:17" ht="14.5" x14ac:dyDescent="0.35">
      <c r="A200" s="184" t="s">
        <v>155</v>
      </c>
      <c r="B200" s="184" t="s">
        <v>396</v>
      </c>
      <c r="C200" s="184" t="s">
        <v>170</v>
      </c>
      <c r="D200" s="185" t="s">
        <v>287</v>
      </c>
      <c r="E200" s="185">
        <v>14478</v>
      </c>
      <c r="F200" s="185" t="s">
        <v>149</v>
      </c>
      <c r="G200" s="184">
        <v>105098</v>
      </c>
      <c r="H200" s="184" t="s">
        <v>314</v>
      </c>
      <c r="I200" s="184" t="s">
        <v>294</v>
      </c>
      <c r="J200" s="184" t="s">
        <v>391</v>
      </c>
      <c r="K200" s="184" t="s">
        <v>295</v>
      </c>
      <c r="L200" s="185">
        <v>1</v>
      </c>
      <c r="M200" s="186">
        <v>-4392</v>
      </c>
      <c r="N200" s="186">
        <v>0</v>
      </c>
      <c r="O200" s="125">
        <f t="shared" ref="O200:O263" si="20">M200-N200</f>
        <v>-4392</v>
      </c>
      <c r="P200" s="125"/>
      <c r="Q200" s="73">
        <f t="shared" si="19"/>
        <v>-501.12720000000007</v>
      </c>
    </row>
    <row r="201" spans="1:17" ht="14.5" x14ac:dyDescent="0.35">
      <c r="A201" s="184" t="s">
        <v>155</v>
      </c>
      <c r="B201" s="184" t="s">
        <v>396</v>
      </c>
      <c r="C201" s="184" t="s">
        <v>170</v>
      </c>
      <c r="D201" s="185" t="s">
        <v>287</v>
      </c>
      <c r="E201" s="185">
        <v>14479</v>
      </c>
      <c r="F201" s="185" t="s">
        <v>149</v>
      </c>
      <c r="G201" s="184">
        <v>105099</v>
      </c>
      <c r="H201" s="184" t="s">
        <v>107</v>
      </c>
      <c r="I201" s="184" t="s">
        <v>294</v>
      </c>
      <c r="J201" s="184" t="s">
        <v>392</v>
      </c>
      <c r="K201" s="184" t="s">
        <v>295</v>
      </c>
      <c r="L201" s="185">
        <v>1</v>
      </c>
      <c r="M201" s="186">
        <v>4392</v>
      </c>
      <c r="N201" s="186">
        <v>0</v>
      </c>
      <c r="O201" s="125">
        <f t="shared" si="20"/>
        <v>4392</v>
      </c>
      <c r="P201" s="125"/>
      <c r="Q201" s="73">
        <f t="shared" si="19"/>
        <v>501.12720000000007</v>
      </c>
    </row>
    <row r="202" spans="1:17" ht="14.5" x14ac:dyDescent="0.35">
      <c r="A202" s="184" t="s">
        <v>155</v>
      </c>
      <c r="B202" s="184" t="s">
        <v>396</v>
      </c>
      <c r="C202" s="184" t="s">
        <v>170</v>
      </c>
      <c r="D202" s="185" t="s">
        <v>287</v>
      </c>
      <c r="E202" s="185">
        <v>14480</v>
      </c>
      <c r="F202" s="185" t="s">
        <v>149</v>
      </c>
      <c r="G202" s="189">
        <v>109001</v>
      </c>
      <c r="H202" s="184" t="s">
        <v>105</v>
      </c>
      <c r="I202" s="184" t="s">
        <v>294</v>
      </c>
      <c r="J202" s="184" t="s">
        <v>295</v>
      </c>
      <c r="K202" s="184" t="s">
        <v>295</v>
      </c>
      <c r="L202" s="185">
        <v>1</v>
      </c>
      <c r="M202" s="186">
        <v>1051477.8999999999</v>
      </c>
      <c r="N202" s="186">
        <v>1029000</v>
      </c>
      <c r="O202" s="125">
        <f t="shared" si="20"/>
        <v>22477.899999999907</v>
      </c>
      <c r="P202" s="164">
        <f t="shared" ref="P202:P204" si="21">M202*-1</f>
        <v>-1051477.8999999999</v>
      </c>
    </row>
    <row r="203" spans="1:17" ht="14.5" x14ac:dyDescent="0.35">
      <c r="A203" s="184" t="s">
        <v>155</v>
      </c>
      <c r="B203" s="184" t="s">
        <v>396</v>
      </c>
      <c r="C203" s="184" t="s">
        <v>170</v>
      </c>
      <c r="D203" s="185" t="s">
        <v>287</v>
      </c>
      <c r="E203" s="185">
        <v>14481</v>
      </c>
      <c r="F203" s="185" t="s">
        <v>149</v>
      </c>
      <c r="G203" s="189">
        <v>109001</v>
      </c>
      <c r="H203" s="184" t="s">
        <v>105</v>
      </c>
      <c r="I203" s="184" t="s">
        <v>294</v>
      </c>
      <c r="J203" s="184" t="s">
        <v>349</v>
      </c>
      <c r="K203" s="184" t="s">
        <v>295</v>
      </c>
      <c r="L203" s="185">
        <v>1</v>
      </c>
      <c r="M203" s="186">
        <v>1233.3900000000001</v>
      </c>
      <c r="N203" s="186">
        <v>1000</v>
      </c>
      <c r="O203" s="125">
        <f t="shared" si="20"/>
        <v>233.3900000000001</v>
      </c>
      <c r="P203" s="164">
        <f t="shared" si="21"/>
        <v>-1233.3900000000001</v>
      </c>
    </row>
    <row r="204" spans="1:17" ht="14.5" x14ac:dyDescent="0.35">
      <c r="A204" s="184" t="s">
        <v>155</v>
      </c>
      <c r="B204" s="184" t="s">
        <v>396</v>
      </c>
      <c r="C204" s="184" t="s">
        <v>170</v>
      </c>
      <c r="D204" s="185" t="s">
        <v>287</v>
      </c>
      <c r="E204" s="185">
        <v>14482</v>
      </c>
      <c r="F204" s="185" t="s">
        <v>149</v>
      </c>
      <c r="G204" s="189">
        <v>109001</v>
      </c>
      <c r="H204" s="184" t="s">
        <v>105</v>
      </c>
      <c r="I204" s="184" t="s">
        <v>294</v>
      </c>
      <c r="J204" s="184" t="s">
        <v>347</v>
      </c>
      <c r="K204" s="184" t="s">
        <v>295</v>
      </c>
      <c r="L204" s="185">
        <v>1</v>
      </c>
      <c r="M204" s="186">
        <v>686.19</v>
      </c>
      <c r="N204" s="186">
        <v>0</v>
      </c>
      <c r="O204" s="125">
        <f t="shared" si="20"/>
        <v>686.19</v>
      </c>
      <c r="P204" s="164">
        <f t="shared" si="21"/>
        <v>-686.19</v>
      </c>
    </row>
    <row r="205" spans="1:17" ht="14.5" x14ac:dyDescent="0.35">
      <c r="A205" s="184" t="s">
        <v>155</v>
      </c>
      <c r="B205" s="184" t="s">
        <v>396</v>
      </c>
      <c r="C205" s="184" t="s">
        <v>170</v>
      </c>
      <c r="D205" s="185" t="s">
        <v>287</v>
      </c>
      <c r="E205" s="185">
        <v>14483</v>
      </c>
      <c r="F205" s="185" t="s">
        <v>149</v>
      </c>
      <c r="G205" s="189">
        <v>109901</v>
      </c>
      <c r="H205" s="184" t="s">
        <v>106</v>
      </c>
      <c r="I205" s="184" t="s">
        <v>294</v>
      </c>
      <c r="J205" s="184" t="s">
        <v>295</v>
      </c>
      <c r="K205" s="184" t="s">
        <v>295</v>
      </c>
      <c r="L205" s="185">
        <v>1</v>
      </c>
      <c r="M205" s="186">
        <v>1617512.97</v>
      </c>
      <c r="N205" s="186">
        <v>1597000</v>
      </c>
      <c r="O205" s="125">
        <f t="shared" si="20"/>
        <v>20512.969999999972</v>
      </c>
      <c r="P205" s="164"/>
    </row>
    <row r="206" spans="1:17" ht="14.5" x14ac:dyDescent="0.35">
      <c r="A206" s="184" t="s">
        <v>155</v>
      </c>
      <c r="B206" s="184" t="s">
        <v>396</v>
      </c>
      <c r="C206" s="184" t="s">
        <v>170</v>
      </c>
      <c r="D206" s="185" t="s">
        <v>287</v>
      </c>
      <c r="E206" s="185">
        <v>14484</v>
      </c>
      <c r="F206" s="185" t="s">
        <v>149</v>
      </c>
      <c r="G206" s="189">
        <v>109901</v>
      </c>
      <c r="H206" s="184" t="s">
        <v>106</v>
      </c>
      <c r="I206" s="184" t="s">
        <v>294</v>
      </c>
      <c r="J206" s="184" t="s">
        <v>349</v>
      </c>
      <c r="K206" s="184" t="s">
        <v>295</v>
      </c>
      <c r="L206" s="185">
        <v>1</v>
      </c>
      <c r="M206" s="186">
        <v>8976.74</v>
      </c>
      <c r="N206" s="186">
        <v>9000</v>
      </c>
      <c r="O206" s="125">
        <f t="shared" si="20"/>
        <v>-23.260000000000218</v>
      </c>
      <c r="P206" s="125"/>
    </row>
    <row r="207" spans="1:17" ht="14.5" x14ac:dyDescent="0.35">
      <c r="A207" s="184" t="s">
        <v>155</v>
      </c>
      <c r="B207" s="184" t="s">
        <v>396</v>
      </c>
      <c r="C207" s="184" t="s">
        <v>170</v>
      </c>
      <c r="D207" s="185" t="s">
        <v>287</v>
      </c>
      <c r="E207" s="185">
        <v>14485</v>
      </c>
      <c r="F207" s="185" t="s">
        <v>149</v>
      </c>
      <c r="G207" s="189">
        <v>109901</v>
      </c>
      <c r="H207" s="184" t="s">
        <v>106</v>
      </c>
      <c r="I207" s="184" t="s">
        <v>294</v>
      </c>
      <c r="J207" s="184" t="s">
        <v>392</v>
      </c>
      <c r="K207" s="184" t="s">
        <v>295</v>
      </c>
      <c r="L207" s="185">
        <v>1</v>
      </c>
      <c r="M207" s="186">
        <v>619.32000000000005</v>
      </c>
      <c r="N207" s="186">
        <v>0</v>
      </c>
      <c r="O207" s="125">
        <f t="shared" si="20"/>
        <v>619.32000000000005</v>
      </c>
      <c r="P207" s="125"/>
    </row>
    <row r="208" spans="1:17" ht="14.5" x14ac:dyDescent="0.35">
      <c r="A208" s="184" t="s">
        <v>155</v>
      </c>
      <c r="B208" s="184" t="s">
        <v>396</v>
      </c>
      <c r="C208" s="184" t="s">
        <v>170</v>
      </c>
      <c r="D208" s="185" t="s">
        <v>287</v>
      </c>
      <c r="E208" s="185">
        <v>14486</v>
      </c>
      <c r="F208" s="185" t="s">
        <v>149</v>
      </c>
      <c r="G208" s="189">
        <v>109901</v>
      </c>
      <c r="H208" s="184" t="s">
        <v>106</v>
      </c>
      <c r="I208" s="184" t="s">
        <v>294</v>
      </c>
      <c r="J208" s="184" t="s">
        <v>386</v>
      </c>
      <c r="K208" s="184" t="s">
        <v>295</v>
      </c>
      <c r="L208" s="185">
        <v>1</v>
      </c>
      <c r="M208" s="186">
        <v>12357.52</v>
      </c>
      <c r="N208" s="186">
        <v>0</v>
      </c>
      <c r="O208" s="125">
        <f t="shared" si="20"/>
        <v>12357.52</v>
      </c>
      <c r="P208" s="125"/>
    </row>
    <row r="209" spans="1:17" ht="14.5" x14ac:dyDescent="0.35">
      <c r="A209" s="184" t="s">
        <v>155</v>
      </c>
      <c r="B209" s="184" t="s">
        <v>396</v>
      </c>
      <c r="C209" s="184" t="s">
        <v>170</v>
      </c>
      <c r="D209" s="185" t="s">
        <v>287</v>
      </c>
      <c r="E209" s="185">
        <v>14487</v>
      </c>
      <c r="F209" s="185" t="s">
        <v>149</v>
      </c>
      <c r="G209" s="189">
        <v>109901</v>
      </c>
      <c r="H209" s="184" t="s">
        <v>106</v>
      </c>
      <c r="I209" s="184" t="s">
        <v>294</v>
      </c>
      <c r="J209" s="184" t="s">
        <v>347</v>
      </c>
      <c r="K209" s="184" t="s">
        <v>295</v>
      </c>
      <c r="L209" s="185">
        <v>1</v>
      </c>
      <c r="M209" s="186">
        <v>1057.7</v>
      </c>
      <c r="N209" s="186">
        <v>0</v>
      </c>
      <c r="O209" s="125">
        <f t="shared" si="20"/>
        <v>1057.7</v>
      </c>
      <c r="P209" s="125"/>
    </row>
    <row r="210" spans="1:17" ht="14.5" x14ac:dyDescent="0.35">
      <c r="A210" s="184" t="s">
        <v>155</v>
      </c>
      <c r="B210" s="184" t="s">
        <v>397</v>
      </c>
      <c r="C210" s="184" t="s">
        <v>171</v>
      </c>
      <c r="D210" s="185" t="s">
        <v>287</v>
      </c>
      <c r="E210" s="185">
        <v>14604</v>
      </c>
      <c r="F210" s="185" t="s">
        <v>149</v>
      </c>
      <c r="G210" s="184">
        <v>101001</v>
      </c>
      <c r="H210" s="184" t="s">
        <v>108</v>
      </c>
      <c r="I210" s="184" t="s">
        <v>294</v>
      </c>
      <c r="J210" s="184" t="s">
        <v>295</v>
      </c>
      <c r="K210" s="184" t="s">
        <v>295</v>
      </c>
      <c r="L210" s="185">
        <v>1</v>
      </c>
      <c r="M210" s="186">
        <v>8601428.5600000005</v>
      </c>
      <c r="N210" s="186">
        <v>8723000</v>
      </c>
      <c r="O210" s="125">
        <f t="shared" si="20"/>
        <v>-121571.43999999948</v>
      </c>
      <c r="P210" s="125"/>
      <c r="Q210" s="73">
        <f t="shared" ref="Q210:Q237" si="22">M210*$Q$7*1.141</f>
        <v>981422.9986960002</v>
      </c>
    </row>
    <row r="211" spans="1:17" ht="14.5" x14ac:dyDescent="0.35">
      <c r="A211" s="184" t="s">
        <v>155</v>
      </c>
      <c r="B211" s="184" t="s">
        <v>397</v>
      </c>
      <c r="C211" s="184" t="s">
        <v>171</v>
      </c>
      <c r="D211" s="185" t="s">
        <v>287</v>
      </c>
      <c r="E211" s="185">
        <v>14605</v>
      </c>
      <c r="F211" s="185" t="s">
        <v>149</v>
      </c>
      <c r="G211" s="184">
        <v>101001</v>
      </c>
      <c r="H211" s="184" t="s">
        <v>108</v>
      </c>
      <c r="I211" s="184" t="s">
        <v>294</v>
      </c>
      <c r="J211" s="184" t="s">
        <v>390</v>
      </c>
      <c r="K211" s="184" t="s">
        <v>295</v>
      </c>
      <c r="L211" s="185">
        <v>1</v>
      </c>
      <c r="M211" s="186">
        <v>0</v>
      </c>
      <c r="N211" s="186">
        <v>4000</v>
      </c>
      <c r="O211" s="125">
        <f t="shared" si="20"/>
        <v>-4000</v>
      </c>
      <c r="P211" s="125"/>
      <c r="Q211" s="73">
        <f t="shared" si="22"/>
        <v>0</v>
      </c>
    </row>
    <row r="212" spans="1:17" ht="14.5" x14ac:dyDescent="0.35">
      <c r="A212" s="184" t="s">
        <v>155</v>
      </c>
      <c r="B212" s="184" t="s">
        <v>397</v>
      </c>
      <c r="C212" s="184" t="s">
        <v>171</v>
      </c>
      <c r="D212" s="185" t="s">
        <v>287</v>
      </c>
      <c r="E212" s="185">
        <v>14606</v>
      </c>
      <c r="F212" s="185" t="s">
        <v>149</v>
      </c>
      <c r="G212" s="184">
        <v>101002</v>
      </c>
      <c r="H212" s="184" t="s">
        <v>109</v>
      </c>
      <c r="I212" s="184" t="s">
        <v>294</v>
      </c>
      <c r="J212" s="184" t="s">
        <v>295</v>
      </c>
      <c r="K212" s="184" t="s">
        <v>295</v>
      </c>
      <c r="L212" s="185">
        <v>1</v>
      </c>
      <c r="M212" s="186">
        <v>28859.75</v>
      </c>
      <c r="N212" s="186">
        <v>0</v>
      </c>
      <c r="O212" s="125">
        <f t="shared" si="20"/>
        <v>28859.75</v>
      </c>
      <c r="P212" s="125"/>
      <c r="Q212" s="73">
        <f t="shared" si="22"/>
        <v>3292.8974750000007</v>
      </c>
    </row>
    <row r="213" spans="1:17" ht="14.5" x14ac:dyDescent="0.35">
      <c r="A213" s="184" t="s">
        <v>155</v>
      </c>
      <c r="B213" s="184" t="s">
        <v>397</v>
      </c>
      <c r="C213" s="184" t="s">
        <v>171</v>
      </c>
      <c r="D213" s="185" t="s">
        <v>287</v>
      </c>
      <c r="E213" s="185">
        <v>14607</v>
      </c>
      <c r="F213" s="185" t="s">
        <v>149</v>
      </c>
      <c r="G213" s="184">
        <v>101002</v>
      </c>
      <c r="H213" s="184" t="s">
        <v>109</v>
      </c>
      <c r="I213" s="184" t="s">
        <v>294</v>
      </c>
      <c r="J213" s="184" t="s">
        <v>349</v>
      </c>
      <c r="K213" s="184" t="s">
        <v>295</v>
      </c>
      <c r="L213" s="185">
        <v>1</v>
      </c>
      <c r="M213" s="186">
        <v>0</v>
      </c>
      <c r="N213" s="186">
        <v>58000</v>
      </c>
      <c r="O213" s="125">
        <f t="shared" si="20"/>
        <v>-58000</v>
      </c>
      <c r="P213" s="125"/>
      <c r="Q213" s="73">
        <f t="shared" si="22"/>
        <v>0</v>
      </c>
    </row>
    <row r="214" spans="1:17" ht="14.5" x14ac:dyDescent="0.35">
      <c r="A214" s="184" t="s">
        <v>155</v>
      </c>
      <c r="B214" s="184" t="s">
        <v>397</v>
      </c>
      <c r="C214" s="184" t="s">
        <v>171</v>
      </c>
      <c r="D214" s="185" t="s">
        <v>287</v>
      </c>
      <c r="E214" s="185">
        <v>14608</v>
      </c>
      <c r="F214" s="185" t="s">
        <v>149</v>
      </c>
      <c r="G214" s="184">
        <v>101039</v>
      </c>
      <c r="H214" s="184" t="s">
        <v>111</v>
      </c>
      <c r="I214" s="184" t="s">
        <v>294</v>
      </c>
      <c r="J214" s="184" t="s">
        <v>295</v>
      </c>
      <c r="K214" s="184" t="s">
        <v>295</v>
      </c>
      <c r="L214" s="185">
        <v>1</v>
      </c>
      <c r="M214" s="186">
        <v>264945.13</v>
      </c>
      <c r="N214" s="186">
        <v>7000</v>
      </c>
      <c r="O214" s="125">
        <f t="shared" si="20"/>
        <v>257945.13</v>
      </c>
      <c r="P214" s="125"/>
      <c r="Q214" s="73">
        <f t="shared" si="22"/>
        <v>30230.239333000005</v>
      </c>
    </row>
    <row r="215" spans="1:17" ht="14.5" x14ac:dyDescent="0.35">
      <c r="A215" s="184" t="s">
        <v>155</v>
      </c>
      <c r="B215" s="184" t="s">
        <v>397</v>
      </c>
      <c r="C215" s="184" t="s">
        <v>171</v>
      </c>
      <c r="D215" s="185" t="s">
        <v>287</v>
      </c>
      <c r="E215" s="185">
        <v>14609</v>
      </c>
      <c r="F215" s="185" t="s">
        <v>149</v>
      </c>
      <c r="G215" s="184">
        <v>102002</v>
      </c>
      <c r="H215" s="184" t="s">
        <v>112</v>
      </c>
      <c r="I215" s="184" t="s">
        <v>294</v>
      </c>
      <c r="J215" s="184" t="s">
        <v>295</v>
      </c>
      <c r="K215" s="184" t="s">
        <v>295</v>
      </c>
      <c r="L215" s="185">
        <v>1</v>
      </c>
      <c r="M215" s="186">
        <v>18746.3</v>
      </c>
      <c r="N215" s="186">
        <v>0</v>
      </c>
      <c r="O215" s="125">
        <f t="shared" si="20"/>
        <v>18746.3</v>
      </c>
      <c r="P215" s="125"/>
      <c r="Q215" s="73">
        <f t="shared" si="22"/>
        <v>2138.9528300000002</v>
      </c>
    </row>
    <row r="216" spans="1:17" ht="14.5" x14ac:dyDescent="0.35">
      <c r="A216" s="184" t="s">
        <v>155</v>
      </c>
      <c r="B216" s="184" t="s">
        <v>397</v>
      </c>
      <c r="C216" s="184" t="s">
        <v>171</v>
      </c>
      <c r="D216" s="185" t="s">
        <v>287</v>
      </c>
      <c r="E216" s="185">
        <v>14610</v>
      </c>
      <c r="F216" s="185" t="s">
        <v>149</v>
      </c>
      <c r="G216" s="184">
        <v>102002</v>
      </c>
      <c r="H216" s="184" t="s">
        <v>112</v>
      </c>
      <c r="I216" s="184" t="s">
        <v>294</v>
      </c>
      <c r="J216" s="184" t="s">
        <v>398</v>
      </c>
      <c r="K216" s="184" t="s">
        <v>295</v>
      </c>
      <c r="L216" s="185">
        <v>1</v>
      </c>
      <c r="M216" s="186">
        <v>4083.67</v>
      </c>
      <c r="N216" s="186">
        <v>0</v>
      </c>
      <c r="O216" s="125">
        <f t="shared" si="20"/>
        <v>4083.67</v>
      </c>
      <c r="P216" s="125"/>
      <c r="Q216" s="73">
        <f t="shared" si="22"/>
        <v>465.94674700000002</v>
      </c>
    </row>
    <row r="217" spans="1:17" ht="14.5" x14ac:dyDescent="0.35">
      <c r="A217" s="184" t="s">
        <v>155</v>
      </c>
      <c r="B217" s="184" t="s">
        <v>397</v>
      </c>
      <c r="C217" s="184" t="s">
        <v>171</v>
      </c>
      <c r="D217" s="185" t="s">
        <v>287</v>
      </c>
      <c r="E217" s="185">
        <v>14611</v>
      </c>
      <c r="F217" s="185" t="s">
        <v>149</v>
      </c>
      <c r="G217" s="184">
        <v>102003</v>
      </c>
      <c r="H217" s="184" t="s">
        <v>110</v>
      </c>
      <c r="I217" s="184" t="s">
        <v>294</v>
      </c>
      <c r="J217" s="184" t="s">
        <v>295</v>
      </c>
      <c r="K217" s="184" t="s">
        <v>295</v>
      </c>
      <c r="L217" s="185">
        <v>1</v>
      </c>
      <c r="M217" s="186">
        <v>372700.09</v>
      </c>
      <c r="N217" s="186">
        <v>198000</v>
      </c>
      <c r="O217" s="125">
        <f t="shared" si="20"/>
        <v>174700.09000000003</v>
      </c>
      <c r="P217" s="125"/>
      <c r="Q217" s="73">
        <f t="shared" si="22"/>
        <v>42525.080269000006</v>
      </c>
    </row>
    <row r="218" spans="1:17" ht="14.5" x14ac:dyDescent="0.35">
      <c r="A218" s="184" t="s">
        <v>155</v>
      </c>
      <c r="B218" s="184" t="s">
        <v>397</v>
      </c>
      <c r="C218" s="184" t="s">
        <v>171</v>
      </c>
      <c r="D218" s="185" t="s">
        <v>287</v>
      </c>
      <c r="E218" s="185">
        <v>14612</v>
      </c>
      <c r="F218" s="185" t="s">
        <v>149</v>
      </c>
      <c r="G218" s="184">
        <v>102003</v>
      </c>
      <c r="H218" s="184" t="s">
        <v>110</v>
      </c>
      <c r="I218" s="184" t="s">
        <v>294</v>
      </c>
      <c r="J218" s="184" t="s">
        <v>349</v>
      </c>
      <c r="K218" s="184" t="s">
        <v>295</v>
      </c>
      <c r="L218" s="185">
        <v>1</v>
      </c>
      <c r="M218" s="186">
        <v>56072.15</v>
      </c>
      <c r="N218" s="186">
        <v>0</v>
      </c>
      <c r="O218" s="125">
        <f t="shared" si="20"/>
        <v>56072.15</v>
      </c>
      <c r="P218" s="125"/>
      <c r="Q218" s="73">
        <f t="shared" si="22"/>
        <v>6397.8323150000006</v>
      </c>
    </row>
    <row r="219" spans="1:17" ht="14.5" x14ac:dyDescent="0.35">
      <c r="A219" s="184" t="s">
        <v>155</v>
      </c>
      <c r="B219" s="184" t="s">
        <v>397</v>
      </c>
      <c r="C219" s="184" t="s">
        <v>171</v>
      </c>
      <c r="D219" s="185" t="s">
        <v>287</v>
      </c>
      <c r="E219" s="185">
        <v>14613</v>
      </c>
      <c r="F219" s="185" t="s">
        <v>149</v>
      </c>
      <c r="G219" s="184">
        <v>102005</v>
      </c>
      <c r="H219" s="184" t="s">
        <v>116</v>
      </c>
      <c r="I219" s="184" t="s">
        <v>294</v>
      </c>
      <c r="J219" s="184" t="s">
        <v>295</v>
      </c>
      <c r="K219" s="184" t="s">
        <v>295</v>
      </c>
      <c r="L219" s="185">
        <v>1</v>
      </c>
      <c r="M219" s="186">
        <v>76644.039999999994</v>
      </c>
      <c r="N219" s="186">
        <v>0</v>
      </c>
      <c r="O219" s="125">
        <f t="shared" si="20"/>
        <v>76644.039999999994</v>
      </c>
      <c r="P219" s="125"/>
      <c r="Q219" s="73">
        <f t="shared" si="22"/>
        <v>8745.0849639999997</v>
      </c>
    </row>
    <row r="220" spans="1:17" ht="14.5" x14ac:dyDescent="0.35">
      <c r="A220" s="184" t="s">
        <v>155</v>
      </c>
      <c r="B220" s="184" t="s">
        <v>397</v>
      </c>
      <c r="C220" s="184" t="s">
        <v>171</v>
      </c>
      <c r="D220" s="185" t="s">
        <v>287</v>
      </c>
      <c r="E220" s="185">
        <v>14614</v>
      </c>
      <c r="F220" s="185" t="s">
        <v>149</v>
      </c>
      <c r="G220" s="184">
        <v>102062</v>
      </c>
      <c r="H220" s="184" t="s">
        <v>117</v>
      </c>
      <c r="I220" s="184" t="s">
        <v>294</v>
      </c>
      <c r="J220" s="184" t="s">
        <v>295</v>
      </c>
      <c r="K220" s="184" t="s">
        <v>295</v>
      </c>
      <c r="L220" s="185">
        <v>1</v>
      </c>
      <c r="M220" s="186">
        <v>9056.14</v>
      </c>
      <c r="N220" s="186">
        <v>0</v>
      </c>
      <c r="O220" s="125">
        <f t="shared" si="20"/>
        <v>9056.14</v>
      </c>
      <c r="P220" s="125"/>
      <c r="Q220" s="73">
        <f t="shared" si="22"/>
        <v>1033.305574</v>
      </c>
    </row>
    <row r="221" spans="1:17" ht="14.5" x14ac:dyDescent="0.35">
      <c r="A221" s="184" t="s">
        <v>155</v>
      </c>
      <c r="B221" s="184" t="s">
        <v>397</v>
      </c>
      <c r="C221" s="184" t="s">
        <v>171</v>
      </c>
      <c r="D221" s="185" t="s">
        <v>287</v>
      </c>
      <c r="E221" s="185">
        <v>14615</v>
      </c>
      <c r="F221" s="185" t="s">
        <v>149</v>
      </c>
      <c r="G221" s="184">
        <v>103001</v>
      </c>
      <c r="H221" s="184" t="s">
        <v>113</v>
      </c>
      <c r="I221" s="184" t="s">
        <v>294</v>
      </c>
      <c r="J221" s="184" t="s">
        <v>295</v>
      </c>
      <c r="K221" s="184" t="s">
        <v>295</v>
      </c>
      <c r="L221" s="185">
        <v>1</v>
      </c>
      <c r="M221" s="186">
        <v>28376.98</v>
      </c>
      <c r="N221" s="186">
        <v>0</v>
      </c>
      <c r="O221" s="125">
        <f t="shared" si="20"/>
        <v>28376.98</v>
      </c>
      <c r="P221" s="125"/>
      <c r="Q221" s="73">
        <f t="shared" si="22"/>
        <v>3237.8134180000002</v>
      </c>
    </row>
    <row r="222" spans="1:17" ht="14.5" x14ac:dyDescent="0.35">
      <c r="A222" s="184" t="s">
        <v>155</v>
      </c>
      <c r="B222" s="184" t="s">
        <v>397</v>
      </c>
      <c r="C222" s="184" t="s">
        <v>171</v>
      </c>
      <c r="D222" s="185" t="s">
        <v>287</v>
      </c>
      <c r="E222" s="185">
        <v>14616</v>
      </c>
      <c r="F222" s="185" t="s">
        <v>149</v>
      </c>
      <c r="G222" s="184">
        <v>103001</v>
      </c>
      <c r="H222" s="184" t="s">
        <v>113</v>
      </c>
      <c r="I222" s="184" t="s">
        <v>294</v>
      </c>
      <c r="J222" s="184" t="s">
        <v>349</v>
      </c>
      <c r="K222" s="184" t="s">
        <v>295</v>
      </c>
      <c r="L222" s="185">
        <v>1</v>
      </c>
      <c r="M222" s="186">
        <v>1566.69</v>
      </c>
      <c r="N222" s="186">
        <v>0</v>
      </c>
      <c r="O222" s="125">
        <f t="shared" si="20"/>
        <v>1566.69</v>
      </c>
      <c r="P222" s="125"/>
      <c r="Q222" s="73">
        <f t="shared" si="22"/>
        <v>178.75932900000001</v>
      </c>
    </row>
    <row r="223" spans="1:17" ht="14.5" x14ac:dyDescent="0.35">
      <c r="A223" s="184" t="s">
        <v>155</v>
      </c>
      <c r="B223" s="184" t="s">
        <v>397</v>
      </c>
      <c r="C223" s="184" t="s">
        <v>171</v>
      </c>
      <c r="D223" s="185" t="s">
        <v>287</v>
      </c>
      <c r="E223" s="185">
        <v>14617</v>
      </c>
      <c r="F223" s="185" t="s">
        <v>149</v>
      </c>
      <c r="G223" s="184">
        <v>103001</v>
      </c>
      <c r="H223" s="184" t="s">
        <v>113</v>
      </c>
      <c r="I223" s="184" t="s">
        <v>294</v>
      </c>
      <c r="J223" s="184" t="s">
        <v>398</v>
      </c>
      <c r="K223" s="184" t="s">
        <v>295</v>
      </c>
      <c r="L223" s="185">
        <v>1</v>
      </c>
      <c r="M223" s="186">
        <v>1715.37</v>
      </c>
      <c r="N223" s="186">
        <v>0</v>
      </c>
      <c r="O223" s="125">
        <f t="shared" si="20"/>
        <v>1715.37</v>
      </c>
      <c r="P223" s="125"/>
      <c r="Q223" s="73">
        <f t="shared" si="22"/>
        <v>195.72371700000002</v>
      </c>
    </row>
    <row r="224" spans="1:17" ht="14.5" x14ac:dyDescent="0.35">
      <c r="A224" s="184" t="s">
        <v>155</v>
      </c>
      <c r="B224" s="184" t="s">
        <v>397</v>
      </c>
      <c r="C224" s="184" t="s">
        <v>171</v>
      </c>
      <c r="D224" s="185" t="s">
        <v>287</v>
      </c>
      <c r="E224" s="185">
        <v>14618</v>
      </c>
      <c r="F224" s="185" t="s">
        <v>149</v>
      </c>
      <c r="G224" s="184">
        <v>103001</v>
      </c>
      <c r="H224" s="184" t="s">
        <v>113</v>
      </c>
      <c r="I224" s="184" t="s">
        <v>294</v>
      </c>
      <c r="J224" s="184" t="s">
        <v>350</v>
      </c>
      <c r="K224" s="184" t="s">
        <v>295</v>
      </c>
      <c r="L224" s="185">
        <v>1</v>
      </c>
      <c r="M224" s="186">
        <v>0</v>
      </c>
      <c r="N224" s="186">
        <v>0</v>
      </c>
      <c r="O224" s="125">
        <f t="shared" si="20"/>
        <v>0</v>
      </c>
      <c r="P224" s="125"/>
      <c r="Q224" s="73">
        <f t="shared" si="22"/>
        <v>0</v>
      </c>
    </row>
    <row r="225" spans="1:17" ht="14.5" x14ac:dyDescent="0.35">
      <c r="A225" s="184" t="s">
        <v>155</v>
      </c>
      <c r="B225" s="184" t="s">
        <v>397</v>
      </c>
      <c r="C225" s="184" t="s">
        <v>171</v>
      </c>
      <c r="D225" s="185" t="s">
        <v>287</v>
      </c>
      <c r="E225" s="185">
        <v>14619</v>
      </c>
      <c r="F225" s="185" t="s">
        <v>149</v>
      </c>
      <c r="G225" s="184">
        <v>103001</v>
      </c>
      <c r="H225" s="184" t="s">
        <v>113</v>
      </c>
      <c r="I225" s="184" t="s">
        <v>294</v>
      </c>
      <c r="J225" s="184" t="s">
        <v>386</v>
      </c>
      <c r="K225" s="184" t="s">
        <v>295</v>
      </c>
      <c r="L225" s="185">
        <v>1</v>
      </c>
      <c r="M225" s="186">
        <v>1467.61</v>
      </c>
      <c r="N225" s="186">
        <v>0</v>
      </c>
      <c r="O225" s="125">
        <f t="shared" si="20"/>
        <v>1467.61</v>
      </c>
      <c r="P225" s="125"/>
      <c r="Q225" s="73">
        <f t="shared" si="22"/>
        <v>167.45430099999999</v>
      </c>
    </row>
    <row r="226" spans="1:17" ht="14.5" x14ac:dyDescent="0.35">
      <c r="A226" s="184" t="s">
        <v>155</v>
      </c>
      <c r="B226" s="184" t="s">
        <v>397</v>
      </c>
      <c r="C226" s="184" t="s">
        <v>171</v>
      </c>
      <c r="D226" s="185" t="s">
        <v>287</v>
      </c>
      <c r="E226" s="185">
        <v>14620</v>
      </c>
      <c r="F226" s="185" t="s">
        <v>149</v>
      </c>
      <c r="G226" s="184">
        <v>103001</v>
      </c>
      <c r="H226" s="184" t="s">
        <v>113</v>
      </c>
      <c r="I226" s="184" t="s">
        <v>294</v>
      </c>
      <c r="J226" s="184" t="s">
        <v>347</v>
      </c>
      <c r="K226" s="184" t="s">
        <v>295</v>
      </c>
      <c r="L226" s="185">
        <v>1</v>
      </c>
      <c r="M226" s="186">
        <v>6269.92</v>
      </c>
      <c r="N226" s="186">
        <v>0</v>
      </c>
      <c r="O226" s="125">
        <f t="shared" si="20"/>
        <v>6269.92</v>
      </c>
      <c r="P226" s="125"/>
      <c r="Q226" s="73">
        <f t="shared" si="22"/>
        <v>715.39787200000012</v>
      </c>
    </row>
    <row r="227" spans="1:17" ht="14.5" x14ac:dyDescent="0.35">
      <c r="A227" s="184" t="s">
        <v>155</v>
      </c>
      <c r="B227" s="184" t="s">
        <v>397</v>
      </c>
      <c r="C227" s="184" t="s">
        <v>171</v>
      </c>
      <c r="D227" s="185" t="s">
        <v>287</v>
      </c>
      <c r="E227" s="185">
        <v>14621</v>
      </c>
      <c r="F227" s="185" t="s">
        <v>149</v>
      </c>
      <c r="G227" s="184">
        <v>103060</v>
      </c>
      <c r="H227" s="184" t="s">
        <v>315</v>
      </c>
      <c r="I227" s="184" t="s">
        <v>294</v>
      </c>
      <c r="J227" s="184" t="s">
        <v>295</v>
      </c>
      <c r="K227" s="184" t="s">
        <v>295</v>
      </c>
      <c r="L227" s="185">
        <v>1</v>
      </c>
      <c r="M227" s="186">
        <v>156.80000000000001</v>
      </c>
      <c r="N227" s="186">
        <v>0</v>
      </c>
      <c r="O227" s="125">
        <f t="shared" si="20"/>
        <v>156.80000000000001</v>
      </c>
      <c r="P227" s="125"/>
      <c r="Q227" s="73">
        <f t="shared" si="22"/>
        <v>17.890880000000003</v>
      </c>
    </row>
    <row r="228" spans="1:17" ht="14.5" x14ac:dyDescent="0.35">
      <c r="A228" s="184" t="s">
        <v>155</v>
      </c>
      <c r="B228" s="184" t="s">
        <v>397</v>
      </c>
      <c r="C228" s="184" t="s">
        <v>171</v>
      </c>
      <c r="D228" s="185" t="s">
        <v>287</v>
      </c>
      <c r="E228" s="185">
        <v>14622</v>
      </c>
      <c r="F228" s="185" t="s">
        <v>149</v>
      </c>
      <c r="G228" s="184">
        <v>103061</v>
      </c>
      <c r="H228" s="184" t="s">
        <v>395</v>
      </c>
      <c r="I228" s="184" t="s">
        <v>294</v>
      </c>
      <c r="J228" s="184" t="s">
        <v>295</v>
      </c>
      <c r="K228" s="184" t="s">
        <v>295</v>
      </c>
      <c r="L228" s="185">
        <v>1</v>
      </c>
      <c r="M228" s="186">
        <v>3227.16</v>
      </c>
      <c r="N228" s="186">
        <v>0</v>
      </c>
      <c r="O228" s="125">
        <f t="shared" si="20"/>
        <v>3227.16</v>
      </c>
      <c r="P228" s="125"/>
      <c r="Q228" s="73">
        <f t="shared" si="22"/>
        <v>368.21895599999999</v>
      </c>
    </row>
    <row r="229" spans="1:17" ht="14.5" x14ac:dyDescent="0.35">
      <c r="A229" s="184" t="s">
        <v>155</v>
      </c>
      <c r="B229" s="184" t="s">
        <v>397</v>
      </c>
      <c r="C229" s="184" t="s">
        <v>171</v>
      </c>
      <c r="D229" s="185" t="s">
        <v>287</v>
      </c>
      <c r="E229" s="185">
        <v>14623</v>
      </c>
      <c r="F229" s="185" t="s">
        <v>149</v>
      </c>
      <c r="G229" s="184">
        <v>103062</v>
      </c>
      <c r="H229" s="184" t="s">
        <v>118</v>
      </c>
      <c r="I229" s="184" t="s">
        <v>294</v>
      </c>
      <c r="J229" s="184" t="s">
        <v>295</v>
      </c>
      <c r="K229" s="184" t="s">
        <v>295</v>
      </c>
      <c r="L229" s="185">
        <v>1</v>
      </c>
      <c r="M229" s="186">
        <v>722.4</v>
      </c>
      <c r="N229" s="186">
        <v>0</v>
      </c>
      <c r="O229" s="125">
        <f t="shared" si="20"/>
        <v>722.4</v>
      </c>
      <c r="P229" s="125"/>
      <c r="Q229" s="73">
        <f t="shared" si="22"/>
        <v>82.425839999999994</v>
      </c>
    </row>
    <row r="230" spans="1:17" ht="14.5" x14ac:dyDescent="0.35">
      <c r="A230" s="184" t="s">
        <v>155</v>
      </c>
      <c r="B230" s="184" t="s">
        <v>397</v>
      </c>
      <c r="C230" s="184" t="s">
        <v>171</v>
      </c>
      <c r="D230" s="185" t="s">
        <v>287</v>
      </c>
      <c r="E230" s="185">
        <v>14624</v>
      </c>
      <c r="F230" s="185" t="s">
        <v>149</v>
      </c>
      <c r="G230" s="184">
        <v>103069</v>
      </c>
      <c r="H230" s="184" t="s">
        <v>225</v>
      </c>
      <c r="I230" s="184" t="s">
        <v>294</v>
      </c>
      <c r="J230" s="184" t="s">
        <v>295</v>
      </c>
      <c r="K230" s="184" t="s">
        <v>295</v>
      </c>
      <c r="L230" s="185">
        <v>1</v>
      </c>
      <c r="M230" s="186">
        <v>24860.54</v>
      </c>
      <c r="N230" s="186">
        <v>0</v>
      </c>
      <c r="O230" s="125">
        <f t="shared" si="20"/>
        <v>24860.54</v>
      </c>
      <c r="P230" s="125"/>
      <c r="Q230" s="73">
        <f t="shared" si="22"/>
        <v>2836.587614</v>
      </c>
    </row>
    <row r="231" spans="1:17" ht="14.5" x14ac:dyDescent="0.35">
      <c r="A231" s="184" t="s">
        <v>155</v>
      </c>
      <c r="B231" s="184" t="s">
        <v>397</v>
      </c>
      <c r="C231" s="184" t="s">
        <v>171</v>
      </c>
      <c r="D231" s="185" t="s">
        <v>287</v>
      </c>
      <c r="E231" s="185">
        <v>14625</v>
      </c>
      <c r="F231" s="185" t="s">
        <v>149</v>
      </c>
      <c r="G231" s="184">
        <v>104000</v>
      </c>
      <c r="H231" s="184" t="s">
        <v>114</v>
      </c>
      <c r="I231" s="184" t="s">
        <v>294</v>
      </c>
      <c r="J231" s="184" t="s">
        <v>295</v>
      </c>
      <c r="K231" s="184" t="s">
        <v>295</v>
      </c>
      <c r="L231" s="185">
        <v>1</v>
      </c>
      <c r="M231" s="186">
        <v>39708.160000000003</v>
      </c>
      <c r="N231" s="186">
        <v>64000</v>
      </c>
      <c r="O231" s="125">
        <f t="shared" si="20"/>
        <v>-24291.839999999997</v>
      </c>
      <c r="P231" s="125"/>
      <c r="Q231" s="73">
        <f t="shared" si="22"/>
        <v>4530.7010560000008</v>
      </c>
    </row>
    <row r="232" spans="1:17" ht="14.5" x14ac:dyDescent="0.35">
      <c r="A232" s="184" t="s">
        <v>155</v>
      </c>
      <c r="B232" s="184" t="s">
        <v>397</v>
      </c>
      <c r="C232" s="184" t="s">
        <v>171</v>
      </c>
      <c r="D232" s="185" t="s">
        <v>287</v>
      </c>
      <c r="E232" s="185">
        <v>14626</v>
      </c>
      <c r="F232" s="185" t="s">
        <v>149</v>
      </c>
      <c r="G232" s="184">
        <v>104000</v>
      </c>
      <c r="H232" s="184" t="s">
        <v>114</v>
      </c>
      <c r="I232" s="184" t="s">
        <v>294</v>
      </c>
      <c r="J232" s="184" t="s">
        <v>349</v>
      </c>
      <c r="K232" s="184" t="s">
        <v>295</v>
      </c>
      <c r="L232" s="185">
        <v>1</v>
      </c>
      <c r="M232" s="186">
        <v>40897.56</v>
      </c>
      <c r="N232" s="186">
        <v>41000</v>
      </c>
      <c r="O232" s="125">
        <f t="shared" si="20"/>
        <v>-102.44000000000233</v>
      </c>
      <c r="P232" s="125"/>
      <c r="Q232" s="73">
        <f t="shared" si="22"/>
        <v>4666.4115959999999</v>
      </c>
    </row>
    <row r="233" spans="1:17" ht="14.5" x14ac:dyDescent="0.35">
      <c r="A233" s="184" t="s">
        <v>155</v>
      </c>
      <c r="B233" s="184" t="s">
        <v>397</v>
      </c>
      <c r="C233" s="184" t="s">
        <v>171</v>
      </c>
      <c r="D233" s="185" t="s">
        <v>287</v>
      </c>
      <c r="E233" s="185">
        <v>14627</v>
      </c>
      <c r="F233" s="185" t="s">
        <v>149</v>
      </c>
      <c r="G233" s="184">
        <v>104000</v>
      </c>
      <c r="H233" s="184" t="s">
        <v>114</v>
      </c>
      <c r="I233" s="184" t="s">
        <v>294</v>
      </c>
      <c r="J233" s="184" t="s">
        <v>385</v>
      </c>
      <c r="K233" s="184" t="s">
        <v>295</v>
      </c>
      <c r="L233" s="185">
        <v>1</v>
      </c>
      <c r="M233" s="186">
        <v>244.33</v>
      </c>
      <c r="N233" s="186">
        <v>0</v>
      </c>
      <c r="O233" s="125">
        <f t="shared" si="20"/>
        <v>244.33</v>
      </c>
      <c r="P233" s="125"/>
      <c r="Q233" s="73">
        <f t="shared" si="22"/>
        <v>27.878053000000005</v>
      </c>
    </row>
    <row r="234" spans="1:17" ht="14.5" x14ac:dyDescent="0.35">
      <c r="A234" s="184" t="s">
        <v>155</v>
      </c>
      <c r="B234" s="184" t="s">
        <v>397</v>
      </c>
      <c r="C234" s="184" t="s">
        <v>171</v>
      </c>
      <c r="D234" s="185" t="s">
        <v>287</v>
      </c>
      <c r="E234" s="185">
        <v>14628</v>
      </c>
      <c r="F234" s="185" t="s">
        <v>149</v>
      </c>
      <c r="G234" s="184">
        <v>105003</v>
      </c>
      <c r="H234" s="184" t="s">
        <v>317</v>
      </c>
      <c r="I234" s="184" t="s">
        <v>294</v>
      </c>
      <c r="J234" s="184" t="s">
        <v>295</v>
      </c>
      <c r="K234" s="184" t="s">
        <v>295</v>
      </c>
      <c r="L234" s="185">
        <v>1</v>
      </c>
      <c r="M234" s="186">
        <v>109782.97</v>
      </c>
      <c r="N234" s="186">
        <v>0</v>
      </c>
      <c r="O234" s="125">
        <f t="shared" si="20"/>
        <v>109782.97</v>
      </c>
      <c r="P234" s="125"/>
      <c r="Q234" s="73">
        <f t="shared" si="22"/>
        <v>12526.236877000001</v>
      </c>
    </row>
    <row r="235" spans="1:17" ht="14.5" x14ac:dyDescent="0.35">
      <c r="A235" s="184" t="s">
        <v>155</v>
      </c>
      <c r="B235" s="184" t="s">
        <v>397</v>
      </c>
      <c r="C235" s="184" t="s">
        <v>171</v>
      </c>
      <c r="D235" s="185" t="s">
        <v>287</v>
      </c>
      <c r="E235" s="185">
        <v>14629</v>
      </c>
      <c r="F235" s="185" t="s">
        <v>149</v>
      </c>
      <c r="G235" s="184">
        <v>105019</v>
      </c>
      <c r="H235" s="184" t="s">
        <v>115</v>
      </c>
      <c r="I235" s="184" t="s">
        <v>294</v>
      </c>
      <c r="J235" s="184" t="s">
        <v>295</v>
      </c>
      <c r="K235" s="184" t="s">
        <v>295</v>
      </c>
      <c r="L235" s="185">
        <v>1</v>
      </c>
      <c r="M235" s="186">
        <v>1323.13</v>
      </c>
      <c r="N235" s="186">
        <v>0</v>
      </c>
      <c r="O235" s="125">
        <f t="shared" si="20"/>
        <v>1323.13</v>
      </c>
      <c r="P235" s="125"/>
      <c r="Q235" s="73">
        <f t="shared" si="22"/>
        <v>150.96913300000003</v>
      </c>
    </row>
    <row r="236" spans="1:17" ht="14.5" x14ac:dyDescent="0.35">
      <c r="A236" s="184" t="s">
        <v>155</v>
      </c>
      <c r="B236" s="184" t="s">
        <v>397</v>
      </c>
      <c r="C236" s="184" t="s">
        <v>171</v>
      </c>
      <c r="D236" s="185" t="s">
        <v>287</v>
      </c>
      <c r="E236" s="185">
        <v>14630</v>
      </c>
      <c r="F236" s="185" t="s">
        <v>149</v>
      </c>
      <c r="G236" s="184">
        <v>105098</v>
      </c>
      <c r="H236" s="184" t="s">
        <v>314</v>
      </c>
      <c r="I236" s="184" t="s">
        <v>294</v>
      </c>
      <c r="J236" s="184" t="s">
        <v>391</v>
      </c>
      <c r="K236" s="184" t="s">
        <v>295</v>
      </c>
      <c r="L236" s="185">
        <v>1</v>
      </c>
      <c r="M236" s="186">
        <v>-4392</v>
      </c>
      <c r="N236" s="186">
        <v>0</v>
      </c>
      <c r="O236" s="125">
        <f t="shared" si="20"/>
        <v>-4392</v>
      </c>
      <c r="P236" s="125"/>
      <c r="Q236" s="73">
        <f t="shared" si="22"/>
        <v>-501.12720000000007</v>
      </c>
    </row>
    <row r="237" spans="1:17" ht="14.5" x14ac:dyDescent="0.35">
      <c r="A237" s="184" t="s">
        <v>155</v>
      </c>
      <c r="B237" s="184" t="s">
        <v>397</v>
      </c>
      <c r="C237" s="184" t="s">
        <v>171</v>
      </c>
      <c r="D237" s="185" t="s">
        <v>287</v>
      </c>
      <c r="E237" s="185">
        <v>14631</v>
      </c>
      <c r="F237" s="185" t="s">
        <v>149</v>
      </c>
      <c r="G237" s="184">
        <v>105099</v>
      </c>
      <c r="H237" s="184" t="s">
        <v>107</v>
      </c>
      <c r="I237" s="184" t="s">
        <v>294</v>
      </c>
      <c r="J237" s="184" t="s">
        <v>392</v>
      </c>
      <c r="K237" s="184" t="s">
        <v>295</v>
      </c>
      <c r="L237" s="185">
        <v>1</v>
      </c>
      <c r="M237" s="186">
        <v>4392</v>
      </c>
      <c r="N237" s="186">
        <v>0</v>
      </c>
      <c r="O237" s="125">
        <f t="shared" si="20"/>
        <v>4392</v>
      </c>
      <c r="P237" s="125"/>
      <c r="Q237" s="73">
        <f t="shared" si="22"/>
        <v>501.12720000000007</v>
      </c>
    </row>
    <row r="238" spans="1:17" ht="14.5" x14ac:dyDescent="0.35">
      <c r="A238" s="184" t="s">
        <v>155</v>
      </c>
      <c r="B238" s="184" t="s">
        <v>397</v>
      </c>
      <c r="C238" s="184" t="s">
        <v>171</v>
      </c>
      <c r="D238" s="185" t="s">
        <v>287</v>
      </c>
      <c r="E238" s="185">
        <v>14632</v>
      </c>
      <c r="F238" s="185" t="s">
        <v>149</v>
      </c>
      <c r="G238" s="189">
        <v>109001</v>
      </c>
      <c r="H238" s="184" t="s">
        <v>105</v>
      </c>
      <c r="I238" s="184" t="s">
        <v>294</v>
      </c>
      <c r="J238" s="184" t="s">
        <v>295</v>
      </c>
      <c r="K238" s="184" t="s">
        <v>295</v>
      </c>
      <c r="L238" s="185">
        <v>1</v>
      </c>
      <c r="M238" s="186">
        <v>913293.45</v>
      </c>
      <c r="N238" s="186">
        <v>900000</v>
      </c>
      <c r="O238" s="125">
        <f t="shared" si="20"/>
        <v>13293.449999999953</v>
      </c>
      <c r="P238" s="164">
        <f t="shared" ref="P238:P242" si="23">M238*-1</f>
        <v>-913293.45</v>
      </c>
      <c r="Q238" s="164"/>
    </row>
    <row r="239" spans="1:17" ht="14.5" x14ac:dyDescent="0.35">
      <c r="A239" s="184" t="s">
        <v>155</v>
      </c>
      <c r="B239" s="184" t="s">
        <v>397</v>
      </c>
      <c r="C239" s="184" t="s">
        <v>171</v>
      </c>
      <c r="D239" s="185" t="s">
        <v>287</v>
      </c>
      <c r="E239" s="185">
        <v>14633</v>
      </c>
      <c r="F239" s="185" t="s">
        <v>149</v>
      </c>
      <c r="G239" s="189">
        <v>109001</v>
      </c>
      <c r="H239" s="184" t="s">
        <v>105</v>
      </c>
      <c r="I239" s="184" t="s">
        <v>294</v>
      </c>
      <c r="J239" s="184" t="s">
        <v>349</v>
      </c>
      <c r="K239" s="184" t="s">
        <v>295</v>
      </c>
      <c r="L239" s="185">
        <v>1</v>
      </c>
      <c r="M239" s="186">
        <v>5721.23</v>
      </c>
      <c r="N239" s="186">
        <v>6000</v>
      </c>
      <c r="O239" s="125">
        <f t="shared" si="20"/>
        <v>-278.77000000000044</v>
      </c>
      <c r="P239" s="164">
        <f t="shared" si="23"/>
        <v>-5721.23</v>
      </c>
      <c r="Q239" s="164"/>
    </row>
    <row r="240" spans="1:17" ht="14.5" x14ac:dyDescent="0.35">
      <c r="A240" s="184" t="s">
        <v>155</v>
      </c>
      <c r="B240" s="184" t="s">
        <v>397</v>
      </c>
      <c r="C240" s="184" t="s">
        <v>171</v>
      </c>
      <c r="D240" s="185" t="s">
        <v>287</v>
      </c>
      <c r="E240" s="185">
        <v>14634</v>
      </c>
      <c r="F240" s="185" t="s">
        <v>149</v>
      </c>
      <c r="G240" s="189">
        <v>109001</v>
      </c>
      <c r="H240" s="184" t="s">
        <v>105</v>
      </c>
      <c r="I240" s="184" t="s">
        <v>294</v>
      </c>
      <c r="J240" s="184" t="s">
        <v>398</v>
      </c>
      <c r="K240" s="184" t="s">
        <v>295</v>
      </c>
      <c r="L240" s="185">
        <v>1</v>
      </c>
      <c r="M240" s="186">
        <v>583.87</v>
      </c>
      <c r="N240" s="186">
        <v>0</v>
      </c>
      <c r="O240" s="125">
        <f t="shared" si="20"/>
        <v>583.87</v>
      </c>
      <c r="P240" s="164">
        <f t="shared" si="23"/>
        <v>-583.87</v>
      </c>
      <c r="Q240" s="164"/>
    </row>
    <row r="241" spans="1:17" ht="14.5" x14ac:dyDescent="0.35">
      <c r="A241" s="184" t="s">
        <v>155</v>
      </c>
      <c r="B241" s="184" t="s">
        <v>397</v>
      </c>
      <c r="C241" s="184" t="s">
        <v>171</v>
      </c>
      <c r="D241" s="185" t="s">
        <v>287</v>
      </c>
      <c r="E241" s="185">
        <v>14635</v>
      </c>
      <c r="F241" s="185" t="s">
        <v>149</v>
      </c>
      <c r="G241" s="189">
        <v>109001</v>
      </c>
      <c r="H241" s="184" t="s">
        <v>105</v>
      </c>
      <c r="I241" s="184" t="s">
        <v>294</v>
      </c>
      <c r="J241" s="184" t="s">
        <v>350</v>
      </c>
      <c r="K241" s="184" t="s">
        <v>295</v>
      </c>
      <c r="L241" s="185">
        <v>1</v>
      </c>
      <c r="M241" s="186">
        <v>0</v>
      </c>
      <c r="N241" s="186">
        <v>0</v>
      </c>
      <c r="O241" s="125">
        <f t="shared" si="20"/>
        <v>0</v>
      </c>
      <c r="P241" s="164">
        <f t="shared" si="23"/>
        <v>0</v>
      </c>
    </row>
    <row r="242" spans="1:17" ht="14.5" x14ac:dyDescent="0.35">
      <c r="A242" s="184" t="s">
        <v>155</v>
      </c>
      <c r="B242" s="184" t="s">
        <v>397</v>
      </c>
      <c r="C242" s="184" t="s">
        <v>171</v>
      </c>
      <c r="D242" s="185" t="s">
        <v>287</v>
      </c>
      <c r="E242" s="185">
        <v>14636</v>
      </c>
      <c r="F242" s="185" t="s">
        <v>149</v>
      </c>
      <c r="G242" s="189">
        <v>109001</v>
      </c>
      <c r="H242" s="184" t="s">
        <v>105</v>
      </c>
      <c r="I242" s="184" t="s">
        <v>294</v>
      </c>
      <c r="J242" s="184" t="s">
        <v>347</v>
      </c>
      <c r="K242" s="184" t="s">
        <v>295</v>
      </c>
      <c r="L242" s="185">
        <v>1</v>
      </c>
      <c r="M242" s="186">
        <v>631.28</v>
      </c>
      <c r="N242" s="186">
        <v>0</v>
      </c>
      <c r="O242" s="125">
        <f t="shared" si="20"/>
        <v>631.28</v>
      </c>
      <c r="P242" s="164">
        <f t="shared" si="23"/>
        <v>-631.28</v>
      </c>
    </row>
    <row r="243" spans="1:17" ht="14.5" x14ac:dyDescent="0.35">
      <c r="A243" s="184" t="s">
        <v>155</v>
      </c>
      <c r="B243" s="184" t="s">
        <v>397</v>
      </c>
      <c r="C243" s="184" t="s">
        <v>171</v>
      </c>
      <c r="D243" s="185" t="s">
        <v>287</v>
      </c>
      <c r="E243" s="185">
        <v>14637</v>
      </c>
      <c r="F243" s="185" t="s">
        <v>149</v>
      </c>
      <c r="G243" s="189">
        <v>109901</v>
      </c>
      <c r="H243" s="184" t="s">
        <v>106</v>
      </c>
      <c r="I243" s="184" t="s">
        <v>294</v>
      </c>
      <c r="J243" s="184" t="s">
        <v>295</v>
      </c>
      <c r="K243" s="184" t="s">
        <v>295</v>
      </c>
      <c r="L243" s="185">
        <v>1</v>
      </c>
      <c r="M243" s="186">
        <v>1388173.96</v>
      </c>
      <c r="N243" s="186">
        <v>1395000</v>
      </c>
      <c r="O243" s="125">
        <f t="shared" si="20"/>
        <v>-6826.0400000000373</v>
      </c>
      <c r="P243" s="125"/>
    </row>
    <row r="244" spans="1:17" ht="14.5" x14ac:dyDescent="0.35">
      <c r="A244" s="184" t="s">
        <v>155</v>
      </c>
      <c r="B244" s="184" t="s">
        <v>397</v>
      </c>
      <c r="C244" s="184" t="s">
        <v>171</v>
      </c>
      <c r="D244" s="185" t="s">
        <v>287</v>
      </c>
      <c r="E244" s="185">
        <v>14638</v>
      </c>
      <c r="F244" s="185" t="s">
        <v>149</v>
      </c>
      <c r="G244" s="189">
        <v>109901</v>
      </c>
      <c r="H244" s="184" t="s">
        <v>106</v>
      </c>
      <c r="I244" s="184" t="s">
        <v>294</v>
      </c>
      <c r="J244" s="184" t="s">
        <v>349</v>
      </c>
      <c r="K244" s="184" t="s">
        <v>295</v>
      </c>
      <c r="L244" s="185">
        <v>1</v>
      </c>
      <c r="M244" s="186">
        <v>14700.32</v>
      </c>
      <c r="N244" s="186">
        <v>14000</v>
      </c>
      <c r="O244" s="125">
        <f t="shared" si="20"/>
        <v>700.31999999999971</v>
      </c>
      <c r="P244" s="125"/>
    </row>
    <row r="245" spans="1:17" ht="14.5" x14ac:dyDescent="0.35">
      <c r="A245" s="184" t="s">
        <v>155</v>
      </c>
      <c r="B245" s="184" t="s">
        <v>397</v>
      </c>
      <c r="C245" s="184" t="s">
        <v>171</v>
      </c>
      <c r="D245" s="185" t="s">
        <v>287</v>
      </c>
      <c r="E245" s="185">
        <v>14639</v>
      </c>
      <c r="F245" s="185" t="s">
        <v>149</v>
      </c>
      <c r="G245" s="189">
        <v>109901</v>
      </c>
      <c r="H245" s="184" t="s">
        <v>106</v>
      </c>
      <c r="I245" s="184" t="s">
        <v>294</v>
      </c>
      <c r="J245" s="184" t="s">
        <v>392</v>
      </c>
      <c r="K245" s="184" t="s">
        <v>295</v>
      </c>
      <c r="L245" s="185">
        <v>1</v>
      </c>
      <c r="M245" s="186">
        <v>619.32000000000005</v>
      </c>
      <c r="N245" s="186">
        <v>0</v>
      </c>
      <c r="O245" s="125">
        <f t="shared" si="20"/>
        <v>619.32000000000005</v>
      </c>
      <c r="P245" s="164"/>
    </row>
    <row r="246" spans="1:17" ht="14.5" x14ac:dyDescent="0.35">
      <c r="A246" s="184" t="s">
        <v>155</v>
      </c>
      <c r="B246" s="184" t="s">
        <v>397</v>
      </c>
      <c r="C246" s="184" t="s">
        <v>171</v>
      </c>
      <c r="D246" s="185" t="s">
        <v>287</v>
      </c>
      <c r="E246" s="185">
        <v>14640</v>
      </c>
      <c r="F246" s="185" t="s">
        <v>149</v>
      </c>
      <c r="G246" s="189">
        <v>109901</v>
      </c>
      <c r="H246" s="184" t="s">
        <v>106</v>
      </c>
      <c r="I246" s="184" t="s">
        <v>294</v>
      </c>
      <c r="J246" s="184" t="s">
        <v>398</v>
      </c>
      <c r="K246" s="184" t="s">
        <v>295</v>
      </c>
      <c r="L246" s="185">
        <v>1</v>
      </c>
      <c r="M246" s="186">
        <v>899.99</v>
      </c>
      <c r="N246" s="186">
        <v>0</v>
      </c>
      <c r="O246" s="125">
        <f t="shared" si="20"/>
        <v>899.99</v>
      </c>
      <c r="P246" s="164"/>
    </row>
    <row r="247" spans="1:17" ht="14.5" x14ac:dyDescent="0.35">
      <c r="A247" s="184" t="s">
        <v>155</v>
      </c>
      <c r="B247" s="184" t="s">
        <v>397</v>
      </c>
      <c r="C247" s="184" t="s">
        <v>171</v>
      </c>
      <c r="D247" s="185" t="s">
        <v>287</v>
      </c>
      <c r="E247" s="185">
        <v>14641</v>
      </c>
      <c r="F247" s="185" t="s">
        <v>149</v>
      </c>
      <c r="G247" s="189">
        <v>109901</v>
      </c>
      <c r="H247" s="184" t="s">
        <v>106</v>
      </c>
      <c r="I247" s="184" t="s">
        <v>294</v>
      </c>
      <c r="J247" s="184" t="s">
        <v>350</v>
      </c>
      <c r="K247" s="184" t="s">
        <v>295</v>
      </c>
      <c r="L247" s="185">
        <v>1</v>
      </c>
      <c r="M247" s="186">
        <v>0</v>
      </c>
      <c r="N247" s="186">
        <v>0</v>
      </c>
      <c r="O247" s="125">
        <f t="shared" si="20"/>
        <v>0</v>
      </c>
      <c r="P247" s="164"/>
    </row>
    <row r="248" spans="1:17" ht="14.5" x14ac:dyDescent="0.35">
      <c r="A248" s="184" t="s">
        <v>155</v>
      </c>
      <c r="B248" s="184" t="s">
        <v>397</v>
      </c>
      <c r="C248" s="184" t="s">
        <v>171</v>
      </c>
      <c r="D248" s="185" t="s">
        <v>287</v>
      </c>
      <c r="E248" s="185">
        <v>14642</v>
      </c>
      <c r="F248" s="185" t="s">
        <v>149</v>
      </c>
      <c r="G248" s="189">
        <v>109901</v>
      </c>
      <c r="H248" s="184" t="s">
        <v>106</v>
      </c>
      <c r="I248" s="184" t="s">
        <v>294</v>
      </c>
      <c r="J248" s="184" t="s">
        <v>386</v>
      </c>
      <c r="K248" s="184" t="s">
        <v>295</v>
      </c>
      <c r="L248" s="185">
        <v>1</v>
      </c>
      <c r="M248" s="186">
        <v>206.93</v>
      </c>
      <c r="N248" s="186">
        <v>0</v>
      </c>
      <c r="O248" s="125">
        <f t="shared" si="20"/>
        <v>206.93</v>
      </c>
      <c r="P248" s="164"/>
    </row>
    <row r="249" spans="1:17" ht="14.5" x14ac:dyDescent="0.35">
      <c r="A249" s="184" t="s">
        <v>155</v>
      </c>
      <c r="B249" s="184" t="s">
        <v>397</v>
      </c>
      <c r="C249" s="184" t="s">
        <v>171</v>
      </c>
      <c r="D249" s="185" t="s">
        <v>287</v>
      </c>
      <c r="E249" s="185">
        <v>14643</v>
      </c>
      <c r="F249" s="185" t="s">
        <v>149</v>
      </c>
      <c r="G249" s="189">
        <v>109901</v>
      </c>
      <c r="H249" s="184" t="s">
        <v>106</v>
      </c>
      <c r="I249" s="184" t="s">
        <v>294</v>
      </c>
      <c r="J249" s="184" t="s">
        <v>347</v>
      </c>
      <c r="K249" s="184" t="s">
        <v>295</v>
      </c>
      <c r="L249" s="185">
        <v>1</v>
      </c>
      <c r="M249" s="186">
        <v>973.05</v>
      </c>
      <c r="N249" s="186">
        <v>0</v>
      </c>
      <c r="O249" s="125">
        <f t="shared" si="20"/>
        <v>973.05</v>
      </c>
      <c r="P249" s="125"/>
    </row>
    <row r="250" spans="1:17" ht="14.5" x14ac:dyDescent="0.35">
      <c r="A250" s="184" t="s">
        <v>155</v>
      </c>
      <c r="B250" s="184" t="s">
        <v>397</v>
      </c>
      <c r="C250" s="184" t="s">
        <v>171</v>
      </c>
      <c r="D250" s="185" t="s">
        <v>287</v>
      </c>
      <c r="E250" s="185">
        <v>14644</v>
      </c>
      <c r="F250" s="185" t="s">
        <v>149</v>
      </c>
      <c r="G250" s="189">
        <v>109901</v>
      </c>
      <c r="H250" s="184" t="s">
        <v>106</v>
      </c>
      <c r="I250" s="184" t="s">
        <v>294</v>
      </c>
      <c r="J250" s="184" t="s">
        <v>390</v>
      </c>
      <c r="K250" s="184" t="s">
        <v>295</v>
      </c>
      <c r="L250" s="185">
        <v>1</v>
      </c>
      <c r="M250" s="186">
        <v>0</v>
      </c>
      <c r="N250" s="186">
        <v>1000</v>
      </c>
      <c r="O250" s="125">
        <f t="shared" si="20"/>
        <v>-1000</v>
      </c>
      <c r="P250" s="125"/>
    </row>
    <row r="251" spans="1:17" ht="14.5" x14ac:dyDescent="0.35">
      <c r="A251" s="184" t="s">
        <v>155</v>
      </c>
      <c r="B251" s="184" t="s">
        <v>397</v>
      </c>
      <c r="C251" s="184" t="s">
        <v>171</v>
      </c>
      <c r="D251" s="185" t="s">
        <v>287</v>
      </c>
      <c r="E251" s="185">
        <v>14645</v>
      </c>
      <c r="F251" s="185" t="s">
        <v>149</v>
      </c>
      <c r="G251" s="189">
        <v>109901</v>
      </c>
      <c r="H251" s="184" t="s">
        <v>106</v>
      </c>
      <c r="I251" s="184" t="s">
        <v>294</v>
      </c>
      <c r="J251" s="184" t="s">
        <v>385</v>
      </c>
      <c r="K251" s="184" t="s">
        <v>295</v>
      </c>
      <c r="L251" s="185">
        <v>1</v>
      </c>
      <c r="M251" s="186">
        <v>34.450000000000003</v>
      </c>
      <c r="N251" s="186">
        <v>0</v>
      </c>
      <c r="O251" s="125">
        <f t="shared" si="20"/>
        <v>34.450000000000003</v>
      </c>
      <c r="P251" s="125"/>
    </row>
    <row r="252" spans="1:17" ht="14.5" x14ac:dyDescent="0.35">
      <c r="A252" s="184" t="s">
        <v>155</v>
      </c>
      <c r="B252" s="184" t="s">
        <v>399</v>
      </c>
      <c r="C252" s="184" t="s">
        <v>67</v>
      </c>
      <c r="D252" s="185" t="s">
        <v>287</v>
      </c>
      <c r="E252" s="185">
        <v>14745</v>
      </c>
      <c r="F252" s="185" t="s">
        <v>149</v>
      </c>
      <c r="G252" s="184">
        <v>101001</v>
      </c>
      <c r="H252" s="184" t="s">
        <v>108</v>
      </c>
      <c r="I252" s="184" t="s">
        <v>294</v>
      </c>
      <c r="J252" s="184" t="s">
        <v>295</v>
      </c>
      <c r="K252" s="184" t="s">
        <v>295</v>
      </c>
      <c r="L252" s="185">
        <v>1</v>
      </c>
      <c r="M252" s="186">
        <v>4644497.4400000004</v>
      </c>
      <c r="N252" s="186">
        <v>4389000</v>
      </c>
      <c r="O252" s="125">
        <f t="shared" si="20"/>
        <v>255497.44000000041</v>
      </c>
      <c r="P252" s="125"/>
      <c r="Q252" s="73">
        <f t="shared" ref="Q252:Q274" si="24">M252*$Q$7*1.141</f>
        <v>529937.15790400014</v>
      </c>
    </row>
    <row r="253" spans="1:17" ht="14.5" x14ac:dyDescent="0.35">
      <c r="A253" s="184" t="s">
        <v>155</v>
      </c>
      <c r="B253" s="184" t="s">
        <v>399</v>
      </c>
      <c r="C253" s="184" t="s">
        <v>67</v>
      </c>
      <c r="D253" s="185" t="s">
        <v>287</v>
      </c>
      <c r="E253" s="185">
        <v>14746</v>
      </c>
      <c r="F253" s="185" t="s">
        <v>149</v>
      </c>
      <c r="G253" s="184">
        <v>101002</v>
      </c>
      <c r="H253" s="184" t="s">
        <v>109</v>
      </c>
      <c r="I253" s="184" t="s">
        <v>294</v>
      </c>
      <c r="J253" s="184" t="s">
        <v>295</v>
      </c>
      <c r="K253" s="184" t="s">
        <v>295</v>
      </c>
      <c r="L253" s="185">
        <v>1</v>
      </c>
      <c r="M253" s="186">
        <v>-14816.38</v>
      </c>
      <c r="N253" s="186">
        <v>0</v>
      </c>
      <c r="O253" s="125">
        <f t="shared" si="20"/>
        <v>-14816.38</v>
      </c>
      <c r="P253" s="125"/>
      <c r="Q253" s="73">
        <f t="shared" si="24"/>
        <v>-1690.5489579999999</v>
      </c>
    </row>
    <row r="254" spans="1:17" ht="14.5" x14ac:dyDescent="0.35">
      <c r="A254" s="184" t="s">
        <v>155</v>
      </c>
      <c r="B254" s="184" t="s">
        <v>399</v>
      </c>
      <c r="C254" s="184" t="s">
        <v>67</v>
      </c>
      <c r="D254" s="185" t="s">
        <v>287</v>
      </c>
      <c r="E254" s="185">
        <v>14747</v>
      </c>
      <c r="F254" s="185" t="s">
        <v>149</v>
      </c>
      <c r="G254" s="184">
        <v>101002</v>
      </c>
      <c r="H254" s="184" t="s">
        <v>109</v>
      </c>
      <c r="I254" s="184" t="s">
        <v>294</v>
      </c>
      <c r="J254" s="184" t="s">
        <v>349</v>
      </c>
      <c r="K254" s="184" t="s">
        <v>295</v>
      </c>
      <c r="L254" s="185">
        <v>1</v>
      </c>
      <c r="M254" s="186">
        <v>0</v>
      </c>
      <c r="N254" s="186">
        <v>56000</v>
      </c>
      <c r="O254" s="125">
        <f t="shared" si="20"/>
        <v>-56000</v>
      </c>
      <c r="P254" s="125"/>
      <c r="Q254" s="73">
        <f t="shared" si="24"/>
        <v>0</v>
      </c>
    </row>
    <row r="255" spans="1:17" ht="14.5" x14ac:dyDescent="0.35">
      <c r="A255" s="184" t="s">
        <v>155</v>
      </c>
      <c r="B255" s="184" t="s">
        <v>399</v>
      </c>
      <c r="C255" s="184" t="s">
        <v>67</v>
      </c>
      <c r="D255" s="185" t="s">
        <v>287</v>
      </c>
      <c r="E255" s="185">
        <v>14748</v>
      </c>
      <c r="F255" s="185" t="s">
        <v>149</v>
      </c>
      <c r="G255" s="184">
        <v>101039</v>
      </c>
      <c r="H255" s="184" t="s">
        <v>111</v>
      </c>
      <c r="I255" s="184" t="s">
        <v>294</v>
      </c>
      <c r="J255" s="184" t="s">
        <v>295</v>
      </c>
      <c r="K255" s="184" t="s">
        <v>295</v>
      </c>
      <c r="L255" s="185">
        <v>1</v>
      </c>
      <c r="M255" s="186">
        <v>203574.71</v>
      </c>
      <c r="N255" s="186">
        <v>4000</v>
      </c>
      <c r="O255" s="125">
        <f t="shared" si="20"/>
        <v>199574.71</v>
      </c>
      <c r="P255" s="125"/>
      <c r="Q255" s="73">
        <f t="shared" si="24"/>
        <v>23227.874411000001</v>
      </c>
    </row>
    <row r="256" spans="1:17" ht="14.5" x14ac:dyDescent="0.35">
      <c r="A256" s="184" t="s">
        <v>155</v>
      </c>
      <c r="B256" s="184" t="s">
        <v>399</v>
      </c>
      <c r="C256" s="184" t="s">
        <v>67</v>
      </c>
      <c r="D256" s="185" t="s">
        <v>287</v>
      </c>
      <c r="E256" s="185">
        <v>14749</v>
      </c>
      <c r="F256" s="185" t="s">
        <v>149</v>
      </c>
      <c r="G256" s="184">
        <v>102002</v>
      </c>
      <c r="H256" s="184" t="s">
        <v>112</v>
      </c>
      <c r="I256" s="184" t="s">
        <v>294</v>
      </c>
      <c r="J256" s="184" t="s">
        <v>295</v>
      </c>
      <c r="K256" s="184" t="s">
        <v>295</v>
      </c>
      <c r="L256" s="185">
        <v>1</v>
      </c>
      <c r="M256" s="186">
        <v>16351.65</v>
      </c>
      <c r="N256" s="186">
        <v>0</v>
      </c>
      <c r="O256" s="125">
        <f t="shared" si="20"/>
        <v>16351.65</v>
      </c>
      <c r="P256" s="125"/>
      <c r="Q256" s="73">
        <f t="shared" si="24"/>
        <v>1865.7232650000001</v>
      </c>
    </row>
    <row r="257" spans="1:17" ht="14.5" x14ac:dyDescent="0.35">
      <c r="A257" s="184" t="s">
        <v>155</v>
      </c>
      <c r="B257" s="184" t="s">
        <v>399</v>
      </c>
      <c r="C257" s="184" t="s">
        <v>67</v>
      </c>
      <c r="D257" s="185" t="s">
        <v>287</v>
      </c>
      <c r="E257" s="185">
        <v>14750</v>
      </c>
      <c r="F257" s="185" t="s">
        <v>149</v>
      </c>
      <c r="G257" s="184">
        <v>102002</v>
      </c>
      <c r="H257" s="184" t="s">
        <v>112</v>
      </c>
      <c r="I257" s="184" t="s">
        <v>294</v>
      </c>
      <c r="J257" s="184" t="s">
        <v>398</v>
      </c>
      <c r="K257" s="184" t="s">
        <v>295</v>
      </c>
      <c r="L257" s="185">
        <v>1</v>
      </c>
      <c r="M257" s="186">
        <v>1998.7</v>
      </c>
      <c r="N257" s="186">
        <v>0</v>
      </c>
      <c r="O257" s="125">
        <f t="shared" si="20"/>
        <v>1998.7</v>
      </c>
      <c r="P257" s="125"/>
      <c r="Q257" s="73">
        <f t="shared" si="24"/>
        <v>228.05167</v>
      </c>
    </row>
    <row r="258" spans="1:17" ht="14.5" x14ac:dyDescent="0.35">
      <c r="A258" s="184" t="s">
        <v>155</v>
      </c>
      <c r="B258" s="184" t="s">
        <v>399</v>
      </c>
      <c r="C258" s="184" t="s">
        <v>67</v>
      </c>
      <c r="D258" s="185" t="s">
        <v>287</v>
      </c>
      <c r="E258" s="185">
        <v>14751</v>
      </c>
      <c r="F258" s="185" t="s">
        <v>149</v>
      </c>
      <c r="G258" s="184">
        <v>102002</v>
      </c>
      <c r="H258" s="184" t="s">
        <v>112</v>
      </c>
      <c r="I258" s="184" t="s">
        <v>294</v>
      </c>
      <c r="J258" s="184" t="s">
        <v>347</v>
      </c>
      <c r="K258" s="184" t="s">
        <v>295</v>
      </c>
      <c r="L258" s="185">
        <v>1</v>
      </c>
      <c r="M258" s="186">
        <v>10646.11</v>
      </c>
      <c r="N258" s="186">
        <v>0</v>
      </c>
      <c r="O258" s="125">
        <f t="shared" si="20"/>
        <v>10646.11</v>
      </c>
      <c r="P258" s="125"/>
      <c r="Q258" s="73">
        <f t="shared" si="24"/>
        <v>1214.7211510000002</v>
      </c>
    </row>
    <row r="259" spans="1:17" ht="14.5" x14ac:dyDescent="0.35">
      <c r="A259" s="184" t="s">
        <v>155</v>
      </c>
      <c r="B259" s="184" t="s">
        <v>399</v>
      </c>
      <c r="C259" s="184" t="s">
        <v>67</v>
      </c>
      <c r="D259" s="185" t="s">
        <v>287</v>
      </c>
      <c r="E259" s="185">
        <v>14752</v>
      </c>
      <c r="F259" s="185" t="s">
        <v>149</v>
      </c>
      <c r="G259" s="184">
        <v>102003</v>
      </c>
      <c r="H259" s="184" t="s">
        <v>110</v>
      </c>
      <c r="I259" s="184" t="s">
        <v>294</v>
      </c>
      <c r="J259" s="184" t="s">
        <v>295</v>
      </c>
      <c r="K259" s="184" t="s">
        <v>295</v>
      </c>
      <c r="L259" s="185">
        <v>1</v>
      </c>
      <c r="M259" s="186">
        <v>38149.22</v>
      </c>
      <c r="N259" s="186">
        <v>133000</v>
      </c>
      <c r="O259" s="125">
        <f t="shared" si="20"/>
        <v>-94850.78</v>
      </c>
      <c r="P259" s="125"/>
      <c r="Q259" s="73">
        <f t="shared" si="24"/>
        <v>4352.8260020000007</v>
      </c>
    </row>
    <row r="260" spans="1:17" ht="14.5" x14ac:dyDescent="0.35">
      <c r="A260" s="184" t="s">
        <v>155</v>
      </c>
      <c r="B260" s="184" t="s">
        <v>399</v>
      </c>
      <c r="C260" s="184" t="s">
        <v>67</v>
      </c>
      <c r="D260" s="185" t="s">
        <v>287</v>
      </c>
      <c r="E260" s="185">
        <v>14753</v>
      </c>
      <c r="F260" s="185" t="s">
        <v>149</v>
      </c>
      <c r="G260" s="184">
        <v>102003</v>
      </c>
      <c r="H260" s="184" t="s">
        <v>110</v>
      </c>
      <c r="I260" s="184" t="s">
        <v>294</v>
      </c>
      <c r="J260" s="184" t="s">
        <v>349</v>
      </c>
      <c r="K260" s="184" t="s">
        <v>295</v>
      </c>
      <c r="L260" s="185">
        <v>1</v>
      </c>
      <c r="M260" s="186">
        <v>55569.07</v>
      </c>
      <c r="N260" s="186">
        <v>0</v>
      </c>
      <c r="O260" s="125">
        <f t="shared" si="20"/>
        <v>55569.07</v>
      </c>
      <c r="P260" s="125"/>
      <c r="Q260" s="73">
        <f t="shared" si="24"/>
        <v>6340.4308870000004</v>
      </c>
    </row>
    <row r="261" spans="1:17" ht="14.5" x14ac:dyDescent="0.35">
      <c r="A261" s="184" t="s">
        <v>155</v>
      </c>
      <c r="B261" s="184" t="s">
        <v>399</v>
      </c>
      <c r="C261" s="184" t="s">
        <v>67</v>
      </c>
      <c r="D261" s="185" t="s">
        <v>287</v>
      </c>
      <c r="E261" s="185">
        <v>14754</v>
      </c>
      <c r="F261" s="185" t="s">
        <v>149</v>
      </c>
      <c r="G261" s="184">
        <v>102005</v>
      </c>
      <c r="H261" s="184" t="s">
        <v>116</v>
      </c>
      <c r="I261" s="184" t="s">
        <v>294</v>
      </c>
      <c r="J261" s="184" t="s">
        <v>295</v>
      </c>
      <c r="K261" s="184" t="s">
        <v>295</v>
      </c>
      <c r="L261" s="185">
        <v>1</v>
      </c>
      <c r="M261" s="186">
        <v>18229.71</v>
      </c>
      <c r="N261" s="186">
        <v>0</v>
      </c>
      <c r="O261" s="125">
        <f t="shared" si="20"/>
        <v>18229.71</v>
      </c>
      <c r="P261" s="125"/>
      <c r="Q261" s="73">
        <f t="shared" si="24"/>
        <v>2080.0099110000001</v>
      </c>
    </row>
    <row r="262" spans="1:17" ht="14.5" x14ac:dyDescent="0.35">
      <c r="A262" s="184" t="s">
        <v>155</v>
      </c>
      <c r="B262" s="184" t="s">
        <v>399</v>
      </c>
      <c r="C262" s="184" t="s">
        <v>67</v>
      </c>
      <c r="D262" s="185" t="s">
        <v>287</v>
      </c>
      <c r="E262" s="185">
        <v>14755</v>
      </c>
      <c r="F262" s="185" t="s">
        <v>149</v>
      </c>
      <c r="G262" s="184">
        <v>102005</v>
      </c>
      <c r="H262" s="184" t="s">
        <v>116</v>
      </c>
      <c r="I262" s="184" t="s">
        <v>294</v>
      </c>
      <c r="J262" s="184" t="s">
        <v>349</v>
      </c>
      <c r="K262" s="184" t="s">
        <v>295</v>
      </c>
      <c r="L262" s="185">
        <v>1</v>
      </c>
      <c r="M262" s="186">
        <v>42.4</v>
      </c>
      <c r="N262" s="186">
        <v>0</v>
      </c>
      <c r="O262" s="125">
        <f t="shared" si="20"/>
        <v>42.4</v>
      </c>
      <c r="P262" s="125"/>
      <c r="Q262" s="73">
        <f t="shared" si="24"/>
        <v>4.8378399999999999</v>
      </c>
    </row>
    <row r="263" spans="1:17" ht="14.5" x14ac:dyDescent="0.35">
      <c r="A263" s="184" t="s">
        <v>155</v>
      </c>
      <c r="B263" s="184" t="s">
        <v>399</v>
      </c>
      <c r="C263" s="184" t="s">
        <v>67</v>
      </c>
      <c r="D263" s="185" t="s">
        <v>287</v>
      </c>
      <c r="E263" s="185">
        <v>14756</v>
      </c>
      <c r="F263" s="185" t="s">
        <v>149</v>
      </c>
      <c r="G263" s="184">
        <v>102062</v>
      </c>
      <c r="H263" s="184" t="s">
        <v>117</v>
      </c>
      <c r="I263" s="184" t="s">
        <v>294</v>
      </c>
      <c r="J263" s="184" t="s">
        <v>295</v>
      </c>
      <c r="K263" s="184" t="s">
        <v>295</v>
      </c>
      <c r="L263" s="185">
        <v>1</v>
      </c>
      <c r="M263" s="186">
        <v>4101.8999999999996</v>
      </c>
      <c r="N263" s="186">
        <v>0</v>
      </c>
      <c r="O263" s="125">
        <f t="shared" si="20"/>
        <v>4101.8999999999996</v>
      </c>
      <c r="P263" s="125"/>
      <c r="Q263" s="73">
        <f t="shared" si="24"/>
        <v>468.02679000000001</v>
      </c>
    </row>
    <row r="264" spans="1:17" ht="14.5" x14ac:dyDescent="0.35">
      <c r="A264" s="184" t="s">
        <v>155</v>
      </c>
      <c r="B264" s="184" t="s">
        <v>399</v>
      </c>
      <c r="C264" s="184" t="s">
        <v>67</v>
      </c>
      <c r="D264" s="185" t="s">
        <v>287</v>
      </c>
      <c r="E264" s="185">
        <v>14757</v>
      </c>
      <c r="F264" s="185" t="s">
        <v>149</v>
      </c>
      <c r="G264" s="184">
        <v>103001</v>
      </c>
      <c r="H264" s="184" t="s">
        <v>113</v>
      </c>
      <c r="I264" s="184" t="s">
        <v>294</v>
      </c>
      <c r="J264" s="184" t="s">
        <v>295</v>
      </c>
      <c r="K264" s="184" t="s">
        <v>295</v>
      </c>
      <c r="L264" s="185">
        <v>1</v>
      </c>
      <c r="M264" s="186">
        <v>2082.46</v>
      </c>
      <c r="N264" s="186">
        <v>0</v>
      </c>
      <c r="O264" s="125">
        <f t="shared" ref="O264:O327" si="25">M264-N264</f>
        <v>2082.46</v>
      </c>
      <c r="P264" s="125"/>
      <c r="Q264" s="73">
        <f t="shared" si="24"/>
        <v>237.60868600000001</v>
      </c>
    </row>
    <row r="265" spans="1:17" ht="14.5" x14ac:dyDescent="0.35">
      <c r="A265" s="184" t="s">
        <v>155</v>
      </c>
      <c r="B265" s="184" t="s">
        <v>399</v>
      </c>
      <c r="C265" s="184" t="s">
        <v>67</v>
      </c>
      <c r="D265" s="185" t="s">
        <v>287</v>
      </c>
      <c r="E265" s="185">
        <v>14758</v>
      </c>
      <c r="F265" s="185" t="s">
        <v>149</v>
      </c>
      <c r="G265" s="184">
        <v>103001</v>
      </c>
      <c r="H265" s="184" t="s">
        <v>113</v>
      </c>
      <c r="I265" s="184" t="s">
        <v>294</v>
      </c>
      <c r="J265" s="184" t="s">
        <v>398</v>
      </c>
      <c r="K265" s="184" t="s">
        <v>295</v>
      </c>
      <c r="L265" s="185">
        <v>1</v>
      </c>
      <c r="M265" s="186">
        <v>6010.62</v>
      </c>
      <c r="N265" s="186">
        <v>0</v>
      </c>
      <c r="O265" s="125">
        <f t="shared" si="25"/>
        <v>6010.62</v>
      </c>
      <c r="P265" s="125"/>
      <c r="Q265" s="73">
        <f t="shared" si="24"/>
        <v>685.81174199999998</v>
      </c>
    </row>
    <row r="266" spans="1:17" ht="14.5" x14ac:dyDescent="0.35">
      <c r="A266" s="184" t="s">
        <v>155</v>
      </c>
      <c r="B266" s="184" t="s">
        <v>399</v>
      </c>
      <c r="C266" s="184" t="s">
        <v>67</v>
      </c>
      <c r="D266" s="185" t="s">
        <v>287</v>
      </c>
      <c r="E266" s="185">
        <v>14759</v>
      </c>
      <c r="F266" s="185" t="s">
        <v>149</v>
      </c>
      <c r="G266" s="184">
        <v>103001</v>
      </c>
      <c r="H266" s="184" t="s">
        <v>113</v>
      </c>
      <c r="I266" s="184" t="s">
        <v>294</v>
      </c>
      <c r="J266" s="184" t="s">
        <v>347</v>
      </c>
      <c r="K266" s="184" t="s">
        <v>295</v>
      </c>
      <c r="L266" s="185">
        <v>1</v>
      </c>
      <c r="M266" s="186">
        <v>1340.57</v>
      </c>
      <c r="N266" s="186">
        <v>0</v>
      </c>
      <c r="O266" s="125">
        <f t="shared" si="25"/>
        <v>1340.57</v>
      </c>
      <c r="P266" s="125"/>
      <c r="Q266" s="73">
        <f t="shared" si="24"/>
        <v>152.959037</v>
      </c>
    </row>
    <row r="267" spans="1:17" ht="14.5" x14ac:dyDescent="0.35">
      <c r="A267" s="184" t="s">
        <v>155</v>
      </c>
      <c r="B267" s="184" t="s">
        <v>399</v>
      </c>
      <c r="C267" s="184" t="s">
        <v>67</v>
      </c>
      <c r="D267" s="185" t="s">
        <v>287</v>
      </c>
      <c r="E267" s="185">
        <v>14760</v>
      </c>
      <c r="F267" s="185" t="s">
        <v>149</v>
      </c>
      <c r="G267" s="184">
        <v>103062</v>
      </c>
      <c r="H267" s="184" t="s">
        <v>118</v>
      </c>
      <c r="I267" s="184" t="s">
        <v>294</v>
      </c>
      <c r="J267" s="184" t="s">
        <v>295</v>
      </c>
      <c r="K267" s="184" t="s">
        <v>295</v>
      </c>
      <c r="L267" s="185">
        <v>1</v>
      </c>
      <c r="M267" s="186">
        <v>474.26</v>
      </c>
      <c r="N267" s="186">
        <v>0</v>
      </c>
      <c r="O267" s="125">
        <f t="shared" si="25"/>
        <v>474.26</v>
      </c>
      <c r="P267" s="125"/>
      <c r="Q267" s="73">
        <f t="shared" si="24"/>
        <v>54.113066000000003</v>
      </c>
    </row>
    <row r="268" spans="1:17" ht="14.5" x14ac:dyDescent="0.35">
      <c r="A268" s="184" t="s">
        <v>155</v>
      </c>
      <c r="B268" s="184" t="s">
        <v>399</v>
      </c>
      <c r="C268" s="184" t="s">
        <v>67</v>
      </c>
      <c r="D268" s="185" t="s">
        <v>287</v>
      </c>
      <c r="E268" s="185">
        <v>14761</v>
      </c>
      <c r="F268" s="185" t="s">
        <v>149</v>
      </c>
      <c r="G268" s="184">
        <v>103069</v>
      </c>
      <c r="H268" s="184" t="s">
        <v>225</v>
      </c>
      <c r="I268" s="184" t="s">
        <v>294</v>
      </c>
      <c r="J268" s="184" t="s">
        <v>295</v>
      </c>
      <c r="K268" s="184" t="s">
        <v>295</v>
      </c>
      <c r="L268" s="185">
        <v>1</v>
      </c>
      <c r="M268" s="186">
        <v>7852.87</v>
      </c>
      <c r="N268" s="186">
        <v>0</v>
      </c>
      <c r="O268" s="125">
        <f t="shared" si="25"/>
        <v>7852.87</v>
      </c>
      <c r="P268" s="125"/>
      <c r="Q268" s="73">
        <f t="shared" si="24"/>
        <v>896.01246700000002</v>
      </c>
    </row>
    <row r="269" spans="1:17" ht="14.5" x14ac:dyDescent="0.35">
      <c r="A269" s="184" t="s">
        <v>155</v>
      </c>
      <c r="B269" s="184" t="s">
        <v>399</v>
      </c>
      <c r="C269" s="184" t="s">
        <v>67</v>
      </c>
      <c r="D269" s="185" t="s">
        <v>287</v>
      </c>
      <c r="E269" s="185">
        <v>14762</v>
      </c>
      <c r="F269" s="185" t="s">
        <v>149</v>
      </c>
      <c r="G269" s="184">
        <v>104000</v>
      </c>
      <c r="H269" s="184" t="s">
        <v>114</v>
      </c>
      <c r="I269" s="184" t="s">
        <v>294</v>
      </c>
      <c r="J269" s="184" t="s">
        <v>295</v>
      </c>
      <c r="K269" s="184" t="s">
        <v>295</v>
      </c>
      <c r="L269" s="185">
        <v>1</v>
      </c>
      <c r="M269" s="186">
        <v>19090.93</v>
      </c>
      <c r="N269" s="186">
        <v>36000</v>
      </c>
      <c r="O269" s="125">
        <f t="shared" si="25"/>
        <v>-16909.07</v>
      </c>
      <c r="P269" s="125"/>
      <c r="Q269" s="73">
        <f t="shared" si="24"/>
        <v>2178.2751130000001</v>
      </c>
    </row>
    <row r="270" spans="1:17" ht="14.5" x14ac:dyDescent="0.35">
      <c r="A270" s="184" t="s">
        <v>155</v>
      </c>
      <c r="B270" s="184" t="s">
        <v>399</v>
      </c>
      <c r="C270" s="184" t="s">
        <v>67</v>
      </c>
      <c r="D270" s="185" t="s">
        <v>287</v>
      </c>
      <c r="E270" s="185">
        <v>14763</v>
      </c>
      <c r="F270" s="185" t="s">
        <v>149</v>
      </c>
      <c r="G270" s="184">
        <v>104000</v>
      </c>
      <c r="H270" s="184" t="s">
        <v>114</v>
      </c>
      <c r="I270" s="184" t="s">
        <v>294</v>
      </c>
      <c r="J270" s="184" t="s">
        <v>349</v>
      </c>
      <c r="K270" s="184" t="s">
        <v>295</v>
      </c>
      <c r="L270" s="185">
        <v>1</v>
      </c>
      <c r="M270" s="186">
        <v>7216.05</v>
      </c>
      <c r="N270" s="186">
        <v>7000</v>
      </c>
      <c r="O270" s="125">
        <f t="shared" si="25"/>
        <v>216.05000000000018</v>
      </c>
      <c r="P270" s="125"/>
      <c r="Q270" s="73">
        <f t="shared" si="24"/>
        <v>823.35130500000002</v>
      </c>
    </row>
    <row r="271" spans="1:17" ht="14.5" x14ac:dyDescent="0.35">
      <c r="A271" s="184" t="s">
        <v>155</v>
      </c>
      <c r="B271" s="184" t="s">
        <v>399</v>
      </c>
      <c r="C271" s="184" t="s">
        <v>67</v>
      </c>
      <c r="D271" s="185" t="s">
        <v>287</v>
      </c>
      <c r="E271" s="185">
        <v>14764</v>
      </c>
      <c r="F271" s="185" t="s">
        <v>149</v>
      </c>
      <c r="G271" s="184">
        <v>104000</v>
      </c>
      <c r="H271" s="184" t="s">
        <v>114</v>
      </c>
      <c r="I271" s="184" t="s">
        <v>294</v>
      </c>
      <c r="J271" s="184" t="s">
        <v>347</v>
      </c>
      <c r="K271" s="184" t="s">
        <v>295</v>
      </c>
      <c r="L271" s="185">
        <v>1</v>
      </c>
      <c r="M271" s="186">
        <v>633.38</v>
      </c>
      <c r="N271" s="186">
        <v>0</v>
      </c>
      <c r="O271" s="125">
        <f t="shared" si="25"/>
        <v>633.38</v>
      </c>
      <c r="P271" s="125"/>
      <c r="Q271" s="73">
        <f t="shared" si="24"/>
        <v>72.268658000000002</v>
      </c>
    </row>
    <row r="272" spans="1:17" ht="14.5" x14ac:dyDescent="0.35">
      <c r="A272" s="184" t="s">
        <v>155</v>
      </c>
      <c r="B272" s="184" t="s">
        <v>399</v>
      </c>
      <c r="C272" s="184" t="s">
        <v>67</v>
      </c>
      <c r="D272" s="185" t="s">
        <v>287</v>
      </c>
      <c r="E272" s="185">
        <v>14765</v>
      </c>
      <c r="F272" s="185" t="s">
        <v>149</v>
      </c>
      <c r="G272" s="184">
        <v>105003</v>
      </c>
      <c r="H272" s="184" t="s">
        <v>317</v>
      </c>
      <c r="I272" s="184" t="s">
        <v>294</v>
      </c>
      <c r="J272" s="184" t="s">
        <v>295</v>
      </c>
      <c r="K272" s="184" t="s">
        <v>295</v>
      </c>
      <c r="L272" s="185">
        <v>1</v>
      </c>
      <c r="M272" s="186">
        <v>245917.96</v>
      </c>
      <c r="N272" s="186">
        <v>0</v>
      </c>
      <c r="O272" s="125">
        <f t="shared" si="25"/>
        <v>245917.96</v>
      </c>
      <c r="P272" s="125"/>
      <c r="Q272" s="73">
        <f t="shared" si="24"/>
        <v>28059.239236000001</v>
      </c>
    </row>
    <row r="273" spans="1:17" ht="14.5" x14ac:dyDescent="0.35">
      <c r="A273" s="184" t="s">
        <v>155</v>
      </c>
      <c r="B273" s="184" t="s">
        <v>399</v>
      </c>
      <c r="C273" s="184" t="s">
        <v>67</v>
      </c>
      <c r="D273" s="185" t="s">
        <v>287</v>
      </c>
      <c r="E273" s="185">
        <v>14766</v>
      </c>
      <c r="F273" s="185" t="s">
        <v>149</v>
      </c>
      <c r="G273" s="184">
        <v>105098</v>
      </c>
      <c r="H273" s="184" t="s">
        <v>314</v>
      </c>
      <c r="I273" s="184" t="s">
        <v>294</v>
      </c>
      <c r="J273" s="184" t="s">
        <v>391</v>
      </c>
      <c r="K273" s="184" t="s">
        <v>295</v>
      </c>
      <c r="L273" s="185">
        <v>1</v>
      </c>
      <c r="M273" s="186">
        <v>-4392</v>
      </c>
      <c r="N273" s="186">
        <v>0</v>
      </c>
      <c r="O273" s="125">
        <f t="shared" si="25"/>
        <v>-4392</v>
      </c>
      <c r="P273" s="125"/>
      <c r="Q273" s="73">
        <f t="shared" si="24"/>
        <v>-501.12720000000007</v>
      </c>
    </row>
    <row r="274" spans="1:17" ht="14.5" x14ac:dyDescent="0.35">
      <c r="A274" s="184" t="s">
        <v>155</v>
      </c>
      <c r="B274" s="184" t="s">
        <v>399</v>
      </c>
      <c r="C274" s="184" t="s">
        <v>67</v>
      </c>
      <c r="D274" s="185" t="s">
        <v>287</v>
      </c>
      <c r="E274" s="185">
        <v>14767</v>
      </c>
      <c r="F274" s="185" t="s">
        <v>149</v>
      </c>
      <c r="G274" s="184">
        <v>105099</v>
      </c>
      <c r="H274" s="184" t="s">
        <v>107</v>
      </c>
      <c r="I274" s="184" t="s">
        <v>294</v>
      </c>
      <c r="J274" s="184" t="s">
        <v>392</v>
      </c>
      <c r="K274" s="184" t="s">
        <v>295</v>
      </c>
      <c r="L274" s="185">
        <v>1</v>
      </c>
      <c r="M274" s="186">
        <v>4392</v>
      </c>
      <c r="N274" s="186">
        <v>0</v>
      </c>
      <c r="O274" s="125">
        <f t="shared" si="25"/>
        <v>4392</v>
      </c>
      <c r="P274" s="125"/>
      <c r="Q274" s="73">
        <f t="shared" si="24"/>
        <v>501.12720000000007</v>
      </c>
    </row>
    <row r="275" spans="1:17" ht="14.5" x14ac:dyDescent="0.35">
      <c r="A275" s="184" t="s">
        <v>155</v>
      </c>
      <c r="B275" s="184" t="s">
        <v>399</v>
      </c>
      <c r="C275" s="184" t="s">
        <v>67</v>
      </c>
      <c r="D275" s="185" t="s">
        <v>287</v>
      </c>
      <c r="E275" s="185">
        <v>14768</v>
      </c>
      <c r="F275" s="185" t="s">
        <v>149</v>
      </c>
      <c r="G275" s="189">
        <v>109001</v>
      </c>
      <c r="H275" s="184" t="s">
        <v>105</v>
      </c>
      <c r="I275" s="184" t="s">
        <v>294</v>
      </c>
      <c r="J275" s="184" t="s">
        <v>295</v>
      </c>
      <c r="K275" s="184" t="s">
        <v>295</v>
      </c>
      <c r="L275" s="185">
        <v>1</v>
      </c>
      <c r="M275" s="186">
        <v>509260.29</v>
      </c>
      <c r="N275" s="186">
        <v>456000</v>
      </c>
      <c r="O275" s="125">
        <f t="shared" si="25"/>
        <v>53260.289999999979</v>
      </c>
      <c r="P275" s="164">
        <f t="shared" ref="P275:P278" si="26">M275*-1</f>
        <v>-509260.29</v>
      </c>
    </row>
    <row r="276" spans="1:17" ht="14.5" x14ac:dyDescent="0.35">
      <c r="A276" s="184" t="s">
        <v>155</v>
      </c>
      <c r="B276" s="184" t="s">
        <v>399</v>
      </c>
      <c r="C276" s="184" t="s">
        <v>67</v>
      </c>
      <c r="D276" s="185" t="s">
        <v>287</v>
      </c>
      <c r="E276" s="185">
        <v>14769</v>
      </c>
      <c r="F276" s="185" t="s">
        <v>149</v>
      </c>
      <c r="G276" s="189">
        <v>109001</v>
      </c>
      <c r="H276" s="184" t="s">
        <v>105</v>
      </c>
      <c r="I276" s="184" t="s">
        <v>294</v>
      </c>
      <c r="J276" s="184" t="s">
        <v>349</v>
      </c>
      <c r="K276" s="184" t="s">
        <v>295</v>
      </c>
      <c r="L276" s="185">
        <v>1</v>
      </c>
      <c r="M276" s="186">
        <v>5605.57</v>
      </c>
      <c r="N276" s="186">
        <v>6000</v>
      </c>
      <c r="O276" s="125">
        <f t="shared" si="25"/>
        <v>-394.43000000000029</v>
      </c>
      <c r="P276" s="164">
        <f t="shared" si="26"/>
        <v>-5605.57</v>
      </c>
    </row>
    <row r="277" spans="1:17" ht="14.5" x14ac:dyDescent="0.35">
      <c r="A277" s="184" t="s">
        <v>155</v>
      </c>
      <c r="B277" s="184" t="s">
        <v>399</v>
      </c>
      <c r="C277" s="184" t="s">
        <v>67</v>
      </c>
      <c r="D277" s="185" t="s">
        <v>287</v>
      </c>
      <c r="E277" s="185">
        <v>14770</v>
      </c>
      <c r="F277" s="185" t="s">
        <v>149</v>
      </c>
      <c r="G277" s="189">
        <v>109001</v>
      </c>
      <c r="H277" s="184" t="s">
        <v>105</v>
      </c>
      <c r="I277" s="184" t="s">
        <v>294</v>
      </c>
      <c r="J277" s="184" t="s">
        <v>398</v>
      </c>
      <c r="K277" s="184" t="s">
        <v>295</v>
      </c>
      <c r="L277" s="185">
        <v>1</v>
      </c>
      <c r="M277" s="186">
        <v>788.92</v>
      </c>
      <c r="N277" s="186">
        <v>0</v>
      </c>
      <c r="O277" s="125">
        <f t="shared" si="25"/>
        <v>788.92</v>
      </c>
      <c r="P277" s="164">
        <f t="shared" si="26"/>
        <v>-788.92</v>
      </c>
    </row>
    <row r="278" spans="1:17" ht="14.5" x14ac:dyDescent="0.35">
      <c r="A278" s="184" t="s">
        <v>155</v>
      </c>
      <c r="B278" s="184" t="s">
        <v>399</v>
      </c>
      <c r="C278" s="184" t="s">
        <v>67</v>
      </c>
      <c r="D278" s="185" t="s">
        <v>287</v>
      </c>
      <c r="E278" s="185">
        <v>14771</v>
      </c>
      <c r="F278" s="185" t="s">
        <v>149</v>
      </c>
      <c r="G278" s="189">
        <v>109001</v>
      </c>
      <c r="H278" s="184" t="s">
        <v>105</v>
      </c>
      <c r="I278" s="184" t="s">
        <v>294</v>
      </c>
      <c r="J278" s="184" t="s">
        <v>347</v>
      </c>
      <c r="K278" s="184" t="s">
        <v>295</v>
      </c>
      <c r="L278" s="185">
        <v>1</v>
      </c>
      <c r="M278" s="186">
        <v>1206.8499999999999</v>
      </c>
      <c r="N278" s="186">
        <v>0</v>
      </c>
      <c r="O278" s="125">
        <f t="shared" si="25"/>
        <v>1206.8499999999999</v>
      </c>
      <c r="P278" s="164">
        <f t="shared" si="26"/>
        <v>-1206.8499999999999</v>
      </c>
    </row>
    <row r="279" spans="1:17" ht="14.5" x14ac:dyDescent="0.35">
      <c r="A279" s="184" t="s">
        <v>155</v>
      </c>
      <c r="B279" s="184" t="s">
        <v>399</v>
      </c>
      <c r="C279" s="184" t="s">
        <v>67</v>
      </c>
      <c r="D279" s="185" t="s">
        <v>287</v>
      </c>
      <c r="E279" s="185">
        <v>14772</v>
      </c>
      <c r="F279" s="185" t="s">
        <v>149</v>
      </c>
      <c r="G279" s="189">
        <v>109901</v>
      </c>
      <c r="H279" s="184" t="s">
        <v>106</v>
      </c>
      <c r="I279" s="184" t="s">
        <v>294</v>
      </c>
      <c r="J279" s="184" t="s">
        <v>295</v>
      </c>
      <c r="K279" s="184" t="s">
        <v>295</v>
      </c>
      <c r="L279" s="185">
        <v>1</v>
      </c>
      <c r="M279" s="186">
        <v>707008.31</v>
      </c>
      <c r="N279" s="186">
        <v>708000</v>
      </c>
      <c r="O279" s="125">
        <f t="shared" si="25"/>
        <v>-991.68999999994412</v>
      </c>
      <c r="P279" s="164"/>
    </row>
    <row r="280" spans="1:17" ht="14.5" x14ac:dyDescent="0.35">
      <c r="A280" s="184" t="s">
        <v>155</v>
      </c>
      <c r="B280" s="184" t="s">
        <v>399</v>
      </c>
      <c r="C280" s="184" t="s">
        <v>67</v>
      </c>
      <c r="D280" s="185" t="s">
        <v>287</v>
      </c>
      <c r="E280" s="185">
        <v>14773</v>
      </c>
      <c r="F280" s="185" t="s">
        <v>149</v>
      </c>
      <c r="G280" s="189">
        <v>109901</v>
      </c>
      <c r="H280" s="184" t="s">
        <v>106</v>
      </c>
      <c r="I280" s="184" t="s">
        <v>294</v>
      </c>
      <c r="J280" s="184" t="s">
        <v>349</v>
      </c>
      <c r="K280" s="184" t="s">
        <v>295</v>
      </c>
      <c r="L280" s="185">
        <v>1</v>
      </c>
      <c r="M280" s="186">
        <v>9649.07</v>
      </c>
      <c r="N280" s="186">
        <v>10000</v>
      </c>
      <c r="O280" s="125">
        <f t="shared" si="25"/>
        <v>-350.93000000000029</v>
      </c>
      <c r="P280" s="164"/>
    </row>
    <row r="281" spans="1:17" ht="14.5" x14ac:dyDescent="0.35">
      <c r="A281" s="184" t="s">
        <v>155</v>
      </c>
      <c r="B281" s="184" t="s">
        <v>399</v>
      </c>
      <c r="C281" s="184" t="s">
        <v>67</v>
      </c>
      <c r="D281" s="185" t="s">
        <v>287</v>
      </c>
      <c r="E281" s="185">
        <v>14774</v>
      </c>
      <c r="F281" s="185" t="s">
        <v>149</v>
      </c>
      <c r="G281" s="189">
        <v>109901</v>
      </c>
      <c r="H281" s="184" t="s">
        <v>106</v>
      </c>
      <c r="I281" s="184" t="s">
        <v>294</v>
      </c>
      <c r="J281" s="184" t="s">
        <v>392</v>
      </c>
      <c r="K281" s="184" t="s">
        <v>295</v>
      </c>
      <c r="L281" s="185">
        <v>1</v>
      </c>
      <c r="M281" s="186">
        <v>619.32000000000005</v>
      </c>
      <c r="N281" s="186">
        <v>0</v>
      </c>
      <c r="O281" s="125">
        <f t="shared" si="25"/>
        <v>619.32000000000005</v>
      </c>
      <c r="P281" s="164"/>
    </row>
    <row r="282" spans="1:17" ht="14.5" x14ac:dyDescent="0.35">
      <c r="A282" s="184" t="s">
        <v>155</v>
      </c>
      <c r="B282" s="184" t="s">
        <v>399</v>
      </c>
      <c r="C282" s="184" t="s">
        <v>67</v>
      </c>
      <c r="D282" s="185" t="s">
        <v>287</v>
      </c>
      <c r="E282" s="185">
        <v>14775</v>
      </c>
      <c r="F282" s="185" t="s">
        <v>149</v>
      </c>
      <c r="G282" s="189">
        <v>109901</v>
      </c>
      <c r="H282" s="184" t="s">
        <v>106</v>
      </c>
      <c r="I282" s="184" t="s">
        <v>294</v>
      </c>
      <c r="J282" s="184" t="s">
        <v>398</v>
      </c>
      <c r="K282" s="184" t="s">
        <v>295</v>
      </c>
      <c r="L282" s="185">
        <v>1</v>
      </c>
      <c r="M282" s="186">
        <v>1215.18</v>
      </c>
      <c r="N282" s="186">
        <v>0</v>
      </c>
      <c r="O282" s="125">
        <f t="shared" si="25"/>
        <v>1215.18</v>
      </c>
      <c r="P282" s="164"/>
    </row>
    <row r="283" spans="1:17" ht="14.5" x14ac:dyDescent="0.35">
      <c r="A283" s="184" t="s">
        <v>155</v>
      </c>
      <c r="B283" s="184" t="s">
        <v>399</v>
      </c>
      <c r="C283" s="184" t="s">
        <v>67</v>
      </c>
      <c r="D283" s="185" t="s">
        <v>287</v>
      </c>
      <c r="E283" s="185">
        <v>14776</v>
      </c>
      <c r="F283" s="185" t="s">
        <v>149</v>
      </c>
      <c r="G283" s="189">
        <v>109901</v>
      </c>
      <c r="H283" s="184" t="s">
        <v>106</v>
      </c>
      <c r="I283" s="184" t="s">
        <v>294</v>
      </c>
      <c r="J283" s="184" t="s">
        <v>347</v>
      </c>
      <c r="K283" s="184" t="s">
        <v>295</v>
      </c>
      <c r="L283" s="185">
        <v>1</v>
      </c>
      <c r="M283" s="186">
        <v>1949.57</v>
      </c>
      <c r="N283" s="186">
        <v>0</v>
      </c>
      <c r="O283" s="125">
        <f t="shared" si="25"/>
        <v>1949.57</v>
      </c>
      <c r="P283" s="164"/>
    </row>
    <row r="284" spans="1:17" ht="14.5" x14ac:dyDescent="0.35">
      <c r="A284" s="184" t="s">
        <v>155</v>
      </c>
      <c r="B284" s="184" t="s">
        <v>400</v>
      </c>
      <c r="C284" s="184" t="s">
        <v>172</v>
      </c>
      <c r="D284" s="185" t="s">
        <v>287</v>
      </c>
      <c r="E284" s="185">
        <v>14899</v>
      </c>
      <c r="F284" s="185" t="s">
        <v>149</v>
      </c>
      <c r="G284" s="184">
        <v>101001</v>
      </c>
      <c r="H284" s="184" t="s">
        <v>108</v>
      </c>
      <c r="I284" s="184" t="s">
        <v>294</v>
      </c>
      <c r="J284" s="184" t="s">
        <v>295</v>
      </c>
      <c r="K284" s="184" t="s">
        <v>295</v>
      </c>
      <c r="L284" s="185">
        <v>1</v>
      </c>
      <c r="M284" s="186">
        <v>4922389.8499999996</v>
      </c>
      <c r="N284" s="186">
        <v>4882000</v>
      </c>
      <c r="O284" s="125">
        <f t="shared" si="25"/>
        <v>40389.849999999627</v>
      </c>
      <c r="P284" s="125"/>
      <c r="Q284" s="73">
        <f t="shared" ref="Q284:Q304" si="27">M284*$Q$7*1.141</f>
        <v>561644.68188499997</v>
      </c>
    </row>
    <row r="285" spans="1:17" ht="14.5" x14ac:dyDescent="0.35">
      <c r="A285" s="184" t="s">
        <v>155</v>
      </c>
      <c r="B285" s="184" t="s">
        <v>400</v>
      </c>
      <c r="C285" s="184" t="s">
        <v>172</v>
      </c>
      <c r="D285" s="185" t="s">
        <v>287</v>
      </c>
      <c r="E285" s="185">
        <v>14900</v>
      </c>
      <c r="F285" s="185" t="s">
        <v>149</v>
      </c>
      <c r="G285" s="184">
        <v>101002</v>
      </c>
      <c r="H285" s="184" t="s">
        <v>109</v>
      </c>
      <c r="I285" s="184" t="s">
        <v>294</v>
      </c>
      <c r="J285" s="184" t="s">
        <v>295</v>
      </c>
      <c r="K285" s="184" t="s">
        <v>295</v>
      </c>
      <c r="L285" s="185">
        <v>1</v>
      </c>
      <c r="M285" s="186">
        <v>12106.48</v>
      </c>
      <c r="N285" s="186">
        <v>0</v>
      </c>
      <c r="O285" s="125">
        <f t="shared" si="25"/>
        <v>12106.48</v>
      </c>
      <c r="P285" s="125"/>
      <c r="Q285" s="73">
        <f t="shared" si="27"/>
        <v>1381.3493679999999</v>
      </c>
    </row>
    <row r="286" spans="1:17" ht="14.5" x14ac:dyDescent="0.35">
      <c r="A286" s="184" t="s">
        <v>155</v>
      </c>
      <c r="B286" s="184" t="s">
        <v>400</v>
      </c>
      <c r="C286" s="184" t="s">
        <v>172</v>
      </c>
      <c r="D286" s="185" t="s">
        <v>287</v>
      </c>
      <c r="E286" s="185">
        <v>14901</v>
      </c>
      <c r="F286" s="185" t="s">
        <v>149</v>
      </c>
      <c r="G286" s="184">
        <v>101002</v>
      </c>
      <c r="H286" s="184" t="s">
        <v>109</v>
      </c>
      <c r="I286" s="184" t="s">
        <v>294</v>
      </c>
      <c r="J286" s="184" t="s">
        <v>349</v>
      </c>
      <c r="K286" s="184" t="s">
        <v>295</v>
      </c>
      <c r="L286" s="185">
        <v>1</v>
      </c>
      <c r="M286" s="186">
        <v>0</v>
      </c>
      <c r="N286" s="186">
        <v>52000</v>
      </c>
      <c r="O286" s="125">
        <f t="shared" si="25"/>
        <v>-52000</v>
      </c>
      <c r="P286" s="125"/>
      <c r="Q286" s="73">
        <f t="shared" si="27"/>
        <v>0</v>
      </c>
    </row>
    <row r="287" spans="1:17" ht="14.5" x14ac:dyDescent="0.35">
      <c r="A287" s="184" t="s">
        <v>155</v>
      </c>
      <c r="B287" s="184" t="s">
        <v>400</v>
      </c>
      <c r="C287" s="184" t="s">
        <v>172</v>
      </c>
      <c r="D287" s="185" t="s">
        <v>287</v>
      </c>
      <c r="E287" s="185">
        <v>14902</v>
      </c>
      <c r="F287" s="185" t="s">
        <v>149</v>
      </c>
      <c r="G287" s="184">
        <v>101002</v>
      </c>
      <c r="H287" s="184" t="s">
        <v>109</v>
      </c>
      <c r="I287" s="184" t="s">
        <v>294</v>
      </c>
      <c r="J287" s="184" t="s">
        <v>347</v>
      </c>
      <c r="K287" s="184" t="s">
        <v>295</v>
      </c>
      <c r="L287" s="185">
        <v>1</v>
      </c>
      <c r="M287" s="186">
        <v>5263.62</v>
      </c>
      <c r="N287" s="186">
        <v>0</v>
      </c>
      <c r="O287" s="125">
        <f t="shared" si="25"/>
        <v>5263.62</v>
      </c>
      <c r="P287" s="125"/>
      <c r="Q287" s="73">
        <f t="shared" si="27"/>
        <v>600.57904199999996</v>
      </c>
    </row>
    <row r="288" spans="1:17" ht="14.5" x14ac:dyDescent="0.35">
      <c r="A288" s="184" t="s">
        <v>155</v>
      </c>
      <c r="B288" s="184" t="s">
        <v>400</v>
      </c>
      <c r="C288" s="184" t="s">
        <v>172</v>
      </c>
      <c r="D288" s="185" t="s">
        <v>287</v>
      </c>
      <c r="E288" s="185">
        <v>14903</v>
      </c>
      <c r="F288" s="185" t="s">
        <v>149</v>
      </c>
      <c r="G288" s="184">
        <v>101031</v>
      </c>
      <c r="H288" s="184" t="s">
        <v>156</v>
      </c>
      <c r="I288" s="184" t="s">
        <v>294</v>
      </c>
      <c r="J288" s="184" t="s">
        <v>295</v>
      </c>
      <c r="K288" s="184" t="s">
        <v>295</v>
      </c>
      <c r="L288" s="185">
        <v>1</v>
      </c>
      <c r="M288" s="186">
        <v>9138.5499999999993</v>
      </c>
      <c r="N288" s="186">
        <v>0</v>
      </c>
      <c r="O288" s="125">
        <f t="shared" si="25"/>
        <v>9138.5499999999993</v>
      </c>
      <c r="P288" s="125"/>
      <c r="Q288" s="73">
        <f t="shared" si="27"/>
        <v>1042.7085549999999</v>
      </c>
    </row>
    <row r="289" spans="1:17" ht="14.5" x14ac:dyDescent="0.35">
      <c r="A289" s="184" t="s">
        <v>155</v>
      </c>
      <c r="B289" s="184" t="s">
        <v>400</v>
      </c>
      <c r="C289" s="184" t="s">
        <v>172</v>
      </c>
      <c r="D289" s="185" t="s">
        <v>287</v>
      </c>
      <c r="E289" s="185">
        <v>14904</v>
      </c>
      <c r="F289" s="185" t="s">
        <v>149</v>
      </c>
      <c r="G289" s="184">
        <v>101039</v>
      </c>
      <c r="H289" s="184" t="s">
        <v>111</v>
      </c>
      <c r="I289" s="184" t="s">
        <v>294</v>
      </c>
      <c r="J289" s="184" t="s">
        <v>295</v>
      </c>
      <c r="K289" s="184" t="s">
        <v>295</v>
      </c>
      <c r="L289" s="185">
        <v>1</v>
      </c>
      <c r="M289" s="186">
        <v>157217.46</v>
      </c>
      <c r="N289" s="186">
        <v>4000</v>
      </c>
      <c r="O289" s="125">
        <f t="shared" si="25"/>
        <v>153217.46</v>
      </c>
      <c r="P289" s="125"/>
      <c r="Q289" s="73">
        <f t="shared" si="27"/>
        <v>17938.512186</v>
      </c>
    </row>
    <row r="290" spans="1:17" ht="14.5" x14ac:dyDescent="0.35">
      <c r="A290" s="184" t="s">
        <v>155</v>
      </c>
      <c r="B290" s="184" t="s">
        <v>400</v>
      </c>
      <c r="C290" s="184" t="s">
        <v>172</v>
      </c>
      <c r="D290" s="185" t="s">
        <v>287</v>
      </c>
      <c r="E290" s="185">
        <v>14905</v>
      </c>
      <c r="F290" s="185" t="s">
        <v>149</v>
      </c>
      <c r="G290" s="184">
        <v>102002</v>
      </c>
      <c r="H290" s="184" t="s">
        <v>112</v>
      </c>
      <c r="I290" s="184" t="s">
        <v>294</v>
      </c>
      <c r="J290" s="184" t="s">
        <v>295</v>
      </c>
      <c r="K290" s="184" t="s">
        <v>295</v>
      </c>
      <c r="L290" s="185">
        <v>1</v>
      </c>
      <c r="M290" s="186">
        <v>5289.56</v>
      </c>
      <c r="N290" s="186">
        <v>0</v>
      </c>
      <c r="O290" s="125">
        <f t="shared" si="25"/>
        <v>5289.56</v>
      </c>
      <c r="P290" s="125"/>
      <c r="Q290" s="73">
        <f t="shared" si="27"/>
        <v>603.53879600000005</v>
      </c>
    </row>
    <row r="291" spans="1:17" ht="14.5" x14ac:dyDescent="0.35">
      <c r="A291" s="184" t="s">
        <v>155</v>
      </c>
      <c r="B291" s="184" t="s">
        <v>400</v>
      </c>
      <c r="C291" s="184" t="s">
        <v>172</v>
      </c>
      <c r="D291" s="185" t="s">
        <v>287</v>
      </c>
      <c r="E291" s="185">
        <v>14906</v>
      </c>
      <c r="F291" s="185" t="s">
        <v>149</v>
      </c>
      <c r="G291" s="184">
        <v>102002</v>
      </c>
      <c r="H291" s="184" t="s">
        <v>112</v>
      </c>
      <c r="I291" s="184" t="s">
        <v>294</v>
      </c>
      <c r="J291" s="184" t="s">
        <v>347</v>
      </c>
      <c r="K291" s="184" t="s">
        <v>295</v>
      </c>
      <c r="L291" s="185">
        <v>1</v>
      </c>
      <c r="M291" s="186">
        <v>8441.65</v>
      </c>
      <c r="N291" s="186">
        <v>0</v>
      </c>
      <c r="O291" s="125">
        <f t="shared" si="25"/>
        <v>8441.65</v>
      </c>
      <c r="P291" s="125"/>
      <c r="Q291" s="73">
        <f t="shared" si="27"/>
        <v>963.19226500000002</v>
      </c>
    </row>
    <row r="292" spans="1:17" ht="14.5" x14ac:dyDescent="0.35">
      <c r="A292" s="184" t="s">
        <v>155</v>
      </c>
      <c r="B292" s="184" t="s">
        <v>400</v>
      </c>
      <c r="C292" s="184" t="s">
        <v>172</v>
      </c>
      <c r="D292" s="185" t="s">
        <v>287</v>
      </c>
      <c r="E292" s="185">
        <v>14907</v>
      </c>
      <c r="F292" s="185" t="s">
        <v>149</v>
      </c>
      <c r="G292" s="184">
        <v>102003</v>
      </c>
      <c r="H292" s="184" t="s">
        <v>110</v>
      </c>
      <c r="I292" s="184" t="s">
        <v>294</v>
      </c>
      <c r="J292" s="184" t="s">
        <v>295</v>
      </c>
      <c r="K292" s="184" t="s">
        <v>295</v>
      </c>
      <c r="L292" s="185">
        <v>1</v>
      </c>
      <c r="M292" s="186">
        <v>103691.29</v>
      </c>
      <c r="N292" s="186">
        <v>107000</v>
      </c>
      <c r="O292" s="125">
        <f t="shared" si="25"/>
        <v>-3308.7100000000064</v>
      </c>
      <c r="P292" s="125"/>
      <c r="Q292" s="73">
        <f t="shared" si="27"/>
        <v>11831.176189000002</v>
      </c>
    </row>
    <row r="293" spans="1:17" ht="14.5" x14ac:dyDescent="0.35">
      <c r="A293" s="184" t="s">
        <v>155</v>
      </c>
      <c r="B293" s="184" t="s">
        <v>400</v>
      </c>
      <c r="C293" s="184" t="s">
        <v>172</v>
      </c>
      <c r="D293" s="185" t="s">
        <v>287</v>
      </c>
      <c r="E293" s="185">
        <v>14908</v>
      </c>
      <c r="F293" s="185" t="s">
        <v>149</v>
      </c>
      <c r="G293" s="184">
        <v>102003</v>
      </c>
      <c r="H293" s="184" t="s">
        <v>110</v>
      </c>
      <c r="I293" s="184" t="s">
        <v>294</v>
      </c>
      <c r="J293" s="184" t="s">
        <v>349</v>
      </c>
      <c r="K293" s="184" t="s">
        <v>295</v>
      </c>
      <c r="L293" s="185">
        <v>1</v>
      </c>
      <c r="M293" s="186">
        <v>48654.52</v>
      </c>
      <c r="N293" s="186">
        <v>0</v>
      </c>
      <c r="O293" s="125">
        <f t="shared" si="25"/>
        <v>48654.52</v>
      </c>
      <c r="P293" s="125"/>
      <c r="Q293" s="73">
        <f t="shared" si="27"/>
        <v>5551.480732</v>
      </c>
    </row>
    <row r="294" spans="1:17" ht="14.5" x14ac:dyDescent="0.35">
      <c r="A294" s="184" t="s">
        <v>155</v>
      </c>
      <c r="B294" s="184" t="s">
        <v>400</v>
      </c>
      <c r="C294" s="184" t="s">
        <v>172</v>
      </c>
      <c r="D294" s="185" t="s">
        <v>287</v>
      </c>
      <c r="E294" s="185">
        <v>14909</v>
      </c>
      <c r="F294" s="185" t="s">
        <v>149</v>
      </c>
      <c r="G294" s="184">
        <v>102005</v>
      </c>
      <c r="H294" s="184" t="s">
        <v>116</v>
      </c>
      <c r="I294" s="184" t="s">
        <v>294</v>
      </c>
      <c r="J294" s="184" t="s">
        <v>295</v>
      </c>
      <c r="K294" s="184" t="s">
        <v>295</v>
      </c>
      <c r="L294" s="185">
        <v>1</v>
      </c>
      <c r="M294" s="186">
        <v>98598.24</v>
      </c>
      <c r="N294" s="186">
        <v>0</v>
      </c>
      <c r="O294" s="125">
        <f t="shared" si="25"/>
        <v>98598.24</v>
      </c>
      <c r="P294" s="125"/>
      <c r="Q294" s="73">
        <f t="shared" si="27"/>
        <v>11250.059184000002</v>
      </c>
    </row>
    <row r="295" spans="1:17" ht="14.5" x14ac:dyDescent="0.35">
      <c r="A295" s="184" t="s">
        <v>155</v>
      </c>
      <c r="B295" s="184" t="s">
        <v>400</v>
      </c>
      <c r="C295" s="184" t="s">
        <v>172</v>
      </c>
      <c r="D295" s="185" t="s">
        <v>287</v>
      </c>
      <c r="E295" s="185">
        <v>14910</v>
      </c>
      <c r="F295" s="185" t="s">
        <v>149</v>
      </c>
      <c r="G295" s="184">
        <v>102005</v>
      </c>
      <c r="H295" s="184" t="s">
        <v>116</v>
      </c>
      <c r="I295" s="184" t="s">
        <v>294</v>
      </c>
      <c r="J295" s="184" t="s">
        <v>349</v>
      </c>
      <c r="K295" s="184" t="s">
        <v>295</v>
      </c>
      <c r="L295" s="185">
        <v>1</v>
      </c>
      <c r="M295" s="186">
        <v>3270.46</v>
      </c>
      <c r="N295" s="186">
        <v>0</v>
      </c>
      <c r="O295" s="125">
        <f t="shared" si="25"/>
        <v>3270.46</v>
      </c>
      <c r="P295" s="125"/>
      <c r="Q295" s="73">
        <f t="shared" si="27"/>
        <v>373.15948600000007</v>
      </c>
    </row>
    <row r="296" spans="1:17" ht="14.5" x14ac:dyDescent="0.35">
      <c r="A296" s="184" t="s">
        <v>155</v>
      </c>
      <c r="B296" s="184" t="s">
        <v>400</v>
      </c>
      <c r="C296" s="184" t="s">
        <v>172</v>
      </c>
      <c r="D296" s="185" t="s">
        <v>287</v>
      </c>
      <c r="E296" s="185">
        <v>14911</v>
      </c>
      <c r="F296" s="185" t="s">
        <v>149</v>
      </c>
      <c r="G296" s="184">
        <v>102062</v>
      </c>
      <c r="H296" s="184" t="s">
        <v>117</v>
      </c>
      <c r="I296" s="184" t="s">
        <v>294</v>
      </c>
      <c r="J296" s="184" t="s">
        <v>295</v>
      </c>
      <c r="K296" s="184" t="s">
        <v>295</v>
      </c>
      <c r="L296" s="185">
        <v>1</v>
      </c>
      <c r="M296" s="186">
        <v>3884.3</v>
      </c>
      <c r="N296" s="186">
        <v>0</v>
      </c>
      <c r="O296" s="125">
        <f t="shared" si="25"/>
        <v>3884.3</v>
      </c>
      <c r="P296" s="125"/>
      <c r="Q296" s="73">
        <f t="shared" si="27"/>
        <v>443.19863000000009</v>
      </c>
    </row>
    <row r="297" spans="1:17" ht="14.5" x14ac:dyDescent="0.35">
      <c r="A297" s="184" t="s">
        <v>155</v>
      </c>
      <c r="B297" s="184" t="s">
        <v>400</v>
      </c>
      <c r="C297" s="184" t="s">
        <v>172</v>
      </c>
      <c r="D297" s="185" t="s">
        <v>287</v>
      </c>
      <c r="E297" s="185">
        <v>14912</v>
      </c>
      <c r="F297" s="185" t="s">
        <v>149</v>
      </c>
      <c r="G297" s="184">
        <v>103001</v>
      </c>
      <c r="H297" s="184" t="s">
        <v>113</v>
      </c>
      <c r="I297" s="184" t="s">
        <v>294</v>
      </c>
      <c r="J297" s="184" t="s">
        <v>350</v>
      </c>
      <c r="K297" s="184" t="s">
        <v>295</v>
      </c>
      <c r="L297" s="185">
        <v>1</v>
      </c>
      <c r="M297" s="186">
        <v>0</v>
      </c>
      <c r="N297" s="186">
        <v>0</v>
      </c>
      <c r="O297" s="125">
        <f t="shared" si="25"/>
        <v>0</v>
      </c>
      <c r="P297" s="125"/>
      <c r="Q297" s="73">
        <f t="shared" si="27"/>
        <v>0</v>
      </c>
    </row>
    <row r="298" spans="1:17" ht="14.5" x14ac:dyDescent="0.35">
      <c r="A298" s="184" t="s">
        <v>155</v>
      </c>
      <c r="B298" s="184" t="s">
        <v>400</v>
      </c>
      <c r="C298" s="184" t="s">
        <v>172</v>
      </c>
      <c r="D298" s="185" t="s">
        <v>287</v>
      </c>
      <c r="E298" s="185">
        <v>14913</v>
      </c>
      <c r="F298" s="185" t="s">
        <v>149</v>
      </c>
      <c r="G298" s="184">
        <v>103069</v>
      </c>
      <c r="H298" s="184" t="s">
        <v>225</v>
      </c>
      <c r="I298" s="184" t="s">
        <v>294</v>
      </c>
      <c r="J298" s="184" t="s">
        <v>295</v>
      </c>
      <c r="K298" s="184" t="s">
        <v>295</v>
      </c>
      <c r="L298" s="185">
        <v>1</v>
      </c>
      <c r="M298" s="186">
        <v>9436.06</v>
      </c>
      <c r="N298" s="186">
        <v>0</v>
      </c>
      <c r="O298" s="125">
        <f t="shared" si="25"/>
        <v>9436.06</v>
      </c>
      <c r="P298" s="125"/>
      <c r="Q298" s="73">
        <f t="shared" si="27"/>
        <v>1076.654446</v>
      </c>
    </row>
    <row r="299" spans="1:17" ht="14.5" x14ac:dyDescent="0.35">
      <c r="A299" s="184" t="s">
        <v>155</v>
      </c>
      <c r="B299" s="184" t="s">
        <v>400</v>
      </c>
      <c r="C299" s="184" t="s">
        <v>172</v>
      </c>
      <c r="D299" s="185" t="s">
        <v>287</v>
      </c>
      <c r="E299" s="185">
        <v>14914</v>
      </c>
      <c r="F299" s="185" t="s">
        <v>149</v>
      </c>
      <c r="G299" s="184">
        <v>104000</v>
      </c>
      <c r="H299" s="184" t="s">
        <v>114</v>
      </c>
      <c r="I299" s="184" t="s">
        <v>294</v>
      </c>
      <c r="J299" s="184" t="s">
        <v>295</v>
      </c>
      <c r="K299" s="184" t="s">
        <v>295</v>
      </c>
      <c r="L299" s="185">
        <v>1</v>
      </c>
      <c r="M299" s="186">
        <v>21844.45</v>
      </c>
      <c r="N299" s="186">
        <v>39000</v>
      </c>
      <c r="O299" s="125">
        <f t="shared" si="25"/>
        <v>-17155.55</v>
      </c>
      <c r="P299" s="125"/>
      <c r="Q299" s="73">
        <f t="shared" si="27"/>
        <v>2492.4517450000003</v>
      </c>
    </row>
    <row r="300" spans="1:17" ht="14.5" x14ac:dyDescent="0.35">
      <c r="A300" s="184" t="s">
        <v>155</v>
      </c>
      <c r="B300" s="184" t="s">
        <v>400</v>
      </c>
      <c r="C300" s="184" t="s">
        <v>172</v>
      </c>
      <c r="D300" s="185" t="s">
        <v>287</v>
      </c>
      <c r="E300" s="185">
        <v>14915</v>
      </c>
      <c r="F300" s="185" t="s">
        <v>149</v>
      </c>
      <c r="G300" s="184">
        <v>104000</v>
      </c>
      <c r="H300" s="184" t="s">
        <v>114</v>
      </c>
      <c r="I300" s="184" t="s">
        <v>294</v>
      </c>
      <c r="J300" s="184" t="s">
        <v>349</v>
      </c>
      <c r="K300" s="184" t="s">
        <v>295</v>
      </c>
      <c r="L300" s="185">
        <v>1</v>
      </c>
      <c r="M300" s="186">
        <v>60915.16</v>
      </c>
      <c r="N300" s="186">
        <v>69000</v>
      </c>
      <c r="O300" s="125">
        <f t="shared" si="25"/>
        <v>-8084.8399999999965</v>
      </c>
      <c r="P300" s="125"/>
      <c r="Q300" s="73">
        <f t="shared" si="27"/>
        <v>6950.4197560000011</v>
      </c>
    </row>
    <row r="301" spans="1:17" ht="14.5" x14ac:dyDescent="0.35">
      <c r="A301" s="184" t="s">
        <v>155</v>
      </c>
      <c r="B301" s="184" t="s">
        <v>400</v>
      </c>
      <c r="C301" s="184" t="s">
        <v>172</v>
      </c>
      <c r="D301" s="185" t="s">
        <v>287</v>
      </c>
      <c r="E301" s="185">
        <v>14916</v>
      </c>
      <c r="F301" s="185" t="s">
        <v>149</v>
      </c>
      <c r="G301" s="184">
        <v>105003</v>
      </c>
      <c r="H301" s="184" t="s">
        <v>317</v>
      </c>
      <c r="I301" s="184" t="s">
        <v>294</v>
      </c>
      <c r="J301" s="184" t="s">
        <v>295</v>
      </c>
      <c r="K301" s="184" t="s">
        <v>295</v>
      </c>
      <c r="L301" s="185">
        <v>1</v>
      </c>
      <c r="M301" s="186">
        <v>128114.3</v>
      </c>
      <c r="N301" s="186">
        <v>0</v>
      </c>
      <c r="O301" s="125">
        <f t="shared" si="25"/>
        <v>128114.3</v>
      </c>
      <c r="P301" s="125"/>
      <c r="Q301" s="73">
        <f t="shared" si="27"/>
        <v>14617.841630000001</v>
      </c>
    </row>
    <row r="302" spans="1:17" ht="14.5" x14ac:dyDescent="0.35">
      <c r="A302" s="184" t="s">
        <v>155</v>
      </c>
      <c r="B302" s="184" t="s">
        <v>400</v>
      </c>
      <c r="C302" s="184" t="s">
        <v>172</v>
      </c>
      <c r="D302" s="185" t="s">
        <v>287</v>
      </c>
      <c r="E302" s="185">
        <v>14917</v>
      </c>
      <c r="F302" s="185" t="s">
        <v>149</v>
      </c>
      <c r="G302" s="184">
        <v>105010</v>
      </c>
      <c r="H302" s="184" t="s">
        <v>124</v>
      </c>
      <c r="I302" s="184" t="s">
        <v>294</v>
      </c>
      <c r="J302" s="184" t="s">
        <v>295</v>
      </c>
      <c r="K302" s="184" t="s">
        <v>295</v>
      </c>
      <c r="L302" s="185">
        <v>1</v>
      </c>
      <c r="M302" s="186">
        <v>1698.5</v>
      </c>
      <c r="N302" s="186">
        <v>0</v>
      </c>
      <c r="O302" s="125">
        <f t="shared" si="25"/>
        <v>1698.5</v>
      </c>
      <c r="P302" s="125"/>
      <c r="Q302" s="73">
        <f t="shared" si="27"/>
        <v>193.79885000000002</v>
      </c>
    </row>
    <row r="303" spans="1:17" ht="14.5" x14ac:dyDescent="0.35">
      <c r="A303" s="184" t="s">
        <v>155</v>
      </c>
      <c r="B303" s="184" t="s">
        <v>400</v>
      </c>
      <c r="C303" s="184" t="s">
        <v>172</v>
      </c>
      <c r="D303" s="185" t="s">
        <v>287</v>
      </c>
      <c r="E303" s="185">
        <v>14918</v>
      </c>
      <c r="F303" s="185" t="s">
        <v>149</v>
      </c>
      <c r="G303" s="184">
        <v>105010</v>
      </c>
      <c r="H303" s="184" t="s">
        <v>124</v>
      </c>
      <c r="I303" s="184" t="s">
        <v>294</v>
      </c>
      <c r="J303" s="184" t="s">
        <v>349</v>
      </c>
      <c r="K303" s="184" t="s">
        <v>295</v>
      </c>
      <c r="L303" s="185">
        <v>1</v>
      </c>
      <c r="M303" s="186">
        <v>859.9</v>
      </c>
      <c r="N303" s="186">
        <v>0</v>
      </c>
      <c r="O303" s="125">
        <f t="shared" si="25"/>
        <v>859.9</v>
      </c>
      <c r="P303" s="125"/>
      <c r="Q303" s="73">
        <f t="shared" si="27"/>
        <v>98.114590000000007</v>
      </c>
    </row>
    <row r="304" spans="1:17" ht="14.5" x14ac:dyDescent="0.35">
      <c r="A304" s="184" t="s">
        <v>155</v>
      </c>
      <c r="B304" s="184" t="s">
        <v>400</v>
      </c>
      <c r="C304" s="184" t="s">
        <v>172</v>
      </c>
      <c r="D304" s="185" t="s">
        <v>287</v>
      </c>
      <c r="E304" s="185">
        <v>14919</v>
      </c>
      <c r="F304" s="185" t="s">
        <v>149</v>
      </c>
      <c r="G304" s="184">
        <v>105019</v>
      </c>
      <c r="H304" s="184" t="s">
        <v>115</v>
      </c>
      <c r="I304" s="184" t="s">
        <v>294</v>
      </c>
      <c r="J304" s="184" t="s">
        <v>295</v>
      </c>
      <c r="K304" s="184" t="s">
        <v>295</v>
      </c>
      <c r="L304" s="185">
        <v>1</v>
      </c>
      <c r="M304" s="186">
        <v>1049.0999999999999</v>
      </c>
      <c r="N304" s="186">
        <v>0</v>
      </c>
      <c r="O304" s="125">
        <f t="shared" si="25"/>
        <v>1049.0999999999999</v>
      </c>
      <c r="P304" s="125"/>
      <c r="Q304" s="73">
        <f t="shared" si="27"/>
        <v>119.70231</v>
      </c>
    </row>
    <row r="305" spans="1:17" ht="14.5" x14ac:dyDescent="0.35">
      <c r="A305" s="184" t="s">
        <v>155</v>
      </c>
      <c r="B305" s="184" t="s">
        <v>400</v>
      </c>
      <c r="C305" s="184" t="s">
        <v>172</v>
      </c>
      <c r="D305" s="185" t="s">
        <v>287</v>
      </c>
      <c r="E305" s="185">
        <v>14920</v>
      </c>
      <c r="F305" s="185" t="s">
        <v>149</v>
      </c>
      <c r="G305" s="189">
        <v>109001</v>
      </c>
      <c r="H305" s="184" t="s">
        <v>105</v>
      </c>
      <c r="I305" s="184" t="s">
        <v>294</v>
      </c>
      <c r="J305" s="184" t="s">
        <v>295</v>
      </c>
      <c r="K305" s="184" t="s">
        <v>295</v>
      </c>
      <c r="L305" s="185">
        <v>1</v>
      </c>
      <c r="M305" s="186">
        <v>529886.06000000006</v>
      </c>
      <c r="N305" s="186">
        <v>503000</v>
      </c>
      <c r="O305" s="125">
        <f t="shared" si="25"/>
        <v>26886.060000000056</v>
      </c>
      <c r="P305" s="164">
        <f t="shared" ref="P305:P308" si="28">M305*-1</f>
        <v>-529886.06000000006</v>
      </c>
      <c r="Q305" s="164"/>
    </row>
    <row r="306" spans="1:17" ht="14.5" x14ac:dyDescent="0.35">
      <c r="A306" s="184" t="s">
        <v>155</v>
      </c>
      <c r="B306" s="184" t="s">
        <v>400</v>
      </c>
      <c r="C306" s="184" t="s">
        <v>172</v>
      </c>
      <c r="D306" s="185" t="s">
        <v>287</v>
      </c>
      <c r="E306" s="185">
        <v>14921</v>
      </c>
      <c r="F306" s="185" t="s">
        <v>149</v>
      </c>
      <c r="G306" s="189">
        <v>109001</v>
      </c>
      <c r="H306" s="184" t="s">
        <v>105</v>
      </c>
      <c r="I306" s="184" t="s">
        <v>294</v>
      </c>
      <c r="J306" s="184" t="s">
        <v>349</v>
      </c>
      <c r="K306" s="184" t="s">
        <v>295</v>
      </c>
      <c r="L306" s="185">
        <v>1</v>
      </c>
      <c r="M306" s="186">
        <v>4569.4399999999996</v>
      </c>
      <c r="N306" s="186">
        <v>4000</v>
      </c>
      <c r="O306" s="125">
        <f t="shared" si="25"/>
        <v>569.4399999999996</v>
      </c>
      <c r="P306" s="164">
        <f t="shared" si="28"/>
        <v>-4569.4399999999996</v>
      </c>
      <c r="Q306" s="164"/>
    </row>
    <row r="307" spans="1:17" ht="14.5" x14ac:dyDescent="0.35">
      <c r="A307" s="184" t="s">
        <v>155</v>
      </c>
      <c r="B307" s="184" t="s">
        <v>400</v>
      </c>
      <c r="C307" s="184" t="s">
        <v>172</v>
      </c>
      <c r="D307" s="185" t="s">
        <v>287</v>
      </c>
      <c r="E307" s="185">
        <v>14922</v>
      </c>
      <c r="F307" s="185" t="s">
        <v>149</v>
      </c>
      <c r="G307" s="189">
        <v>109001</v>
      </c>
      <c r="H307" s="184" t="s">
        <v>105</v>
      </c>
      <c r="I307" s="184" t="s">
        <v>294</v>
      </c>
      <c r="J307" s="184" t="s">
        <v>350</v>
      </c>
      <c r="K307" s="184" t="s">
        <v>295</v>
      </c>
      <c r="L307" s="185">
        <v>1</v>
      </c>
      <c r="M307" s="186">
        <v>0</v>
      </c>
      <c r="N307" s="186">
        <v>0</v>
      </c>
      <c r="O307" s="125">
        <f t="shared" si="25"/>
        <v>0</v>
      </c>
      <c r="P307" s="164">
        <f t="shared" si="28"/>
        <v>0</v>
      </c>
    </row>
    <row r="308" spans="1:17" ht="14.5" x14ac:dyDescent="0.35">
      <c r="A308" s="184" t="s">
        <v>155</v>
      </c>
      <c r="B308" s="184" t="s">
        <v>400</v>
      </c>
      <c r="C308" s="184" t="s">
        <v>172</v>
      </c>
      <c r="D308" s="185" t="s">
        <v>287</v>
      </c>
      <c r="E308" s="185">
        <v>14923</v>
      </c>
      <c r="F308" s="185" t="s">
        <v>149</v>
      </c>
      <c r="G308" s="189">
        <v>109001</v>
      </c>
      <c r="H308" s="184" t="s">
        <v>105</v>
      </c>
      <c r="I308" s="184" t="s">
        <v>294</v>
      </c>
      <c r="J308" s="184" t="s">
        <v>347</v>
      </c>
      <c r="K308" s="184" t="s">
        <v>295</v>
      </c>
      <c r="L308" s="185">
        <v>1</v>
      </c>
      <c r="M308" s="186">
        <v>1188.1500000000001</v>
      </c>
      <c r="N308" s="186">
        <v>0</v>
      </c>
      <c r="O308" s="125">
        <f t="shared" si="25"/>
        <v>1188.1500000000001</v>
      </c>
      <c r="P308" s="164">
        <f t="shared" si="28"/>
        <v>-1188.1500000000001</v>
      </c>
    </row>
    <row r="309" spans="1:17" ht="14.5" x14ac:dyDescent="0.35">
      <c r="A309" s="184" t="s">
        <v>155</v>
      </c>
      <c r="B309" s="184" t="s">
        <v>400</v>
      </c>
      <c r="C309" s="184" t="s">
        <v>172</v>
      </c>
      <c r="D309" s="185" t="s">
        <v>287</v>
      </c>
      <c r="E309" s="185">
        <v>14924</v>
      </c>
      <c r="F309" s="185" t="s">
        <v>149</v>
      </c>
      <c r="G309" s="189">
        <v>109901</v>
      </c>
      <c r="H309" s="184" t="s">
        <v>106</v>
      </c>
      <c r="I309" s="184" t="s">
        <v>294</v>
      </c>
      <c r="J309" s="184" t="s">
        <v>295</v>
      </c>
      <c r="K309" s="184" t="s">
        <v>295</v>
      </c>
      <c r="L309" s="185">
        <v>1</v>
      </c>
      <c r="M309" s="186">
        <v>787721.97</v>
      </c>
      <c r="N309" s="186">
        <v>782000</v>
      </c>
      <c r="O309" s="125">
        <f t="shared" si="25"/>
        <v>5721.9699999999721</v>
      </c>
      <c r="P309" s="125"/>
    </row>
    <row r="310" spans="1:17" ht="14.5" x14ac:dyDescent="0.35">
      <c r="A310" s="184" t="s">
        <v>155</v>
      </c>
      <c r="B310" s="184" t="s">
        <v>400</v>
      </c>
      <c r="C310" s="184" t="s">
        <v>172</v>
      </c>
      <c r="D310" s="185" t="s">
        <v>287</v>
      </c>
      <c r="E310" s="185">
        <v>14925</v>
      </c>
      <c r="F310" s="185" t="s">
        <v>149</v>
      </c>
      <c r="G310" s="189">
        <v>109901</v>
      </c>
      <c r="H310" s="184" t="s">
        <v>106</v>
      </c>
      <c r="I310" s="184" t="s">
        <v>294</v>
      </c>
      <c r="J310" s="184" t="s">
        <v>349</v>
      </c>
      <c r="K310" s="184" t="s">
        <v>295</v>
      </c>
      <c r="L310" s="185">
        <v>1</v>
      </c>
      <c r="M310" s="186">
        <v>16675.990000000002</v>
      </c>
      <c r="N310" s="186">
        <v>18000</v>
      </c>
      <c r="O310" s="125">
        <f t="shared" si="25"/>
        <v>-1324.0099999999984</v>
      </c>
      <c r="P310" s="164"/>
    </row>
    <row r="311" spans="1:17" ht="14.5" x14ac:dyDescent="0.35">
      <c r="A311" s="184" t="s">
        <v>155</v>
      </c>
      <c r="B311" s="184" t="s">
        <v>400</v>
      </c>
      <c r="C311" s="184" t="s">
        <v>172</v>
      </c>
      <c r="D311" s="185" t="s">
        <v>287</v>
      </c>
      <c r="E311" s="185">
        <v>14926</v>
      </c>
      <c r="F311" s="185" t="s">
        <v>149</v>
      </c>
      <c r="G311" s="189">
        <v>109901</v>
      </c>
      <c r="H311" s="184" t="s">
        <v>106</v>
      </c>
      <c r="I311" s="184" t="s">
        <v>294</v>
      </c>
      <c r="J311" s="184" t="s">
        <v>350</v>
      </c>
      <c r="K311" s="184" t="s">
        <v>295</v>
      </c>
      <c r="L311" s="185">
        <v>1</v>
      </c>
      <c r="M311" s="186">
        <v>0</v>
      </c>
      <c r="N311" s="186">
        <v>0</v>
      </c>
      <c r="O311" s="125">
        <f t="shared" si="25"/>
        <v>0</v>
      </c>
      <c r="P311" s="164"/>
    </row>
    <row r="312" spans="1:17" ht="14.5" x14ac:dyDescent="0.35">
      <c r="A312" s="184" t="s">
        <v>155</v>
      </c>
      <c r="B312" s="184" t="s">
        <v>400</v>
      </c>
      <c r="C312" s="184" t="s">
        <v>172</v>
      </c>
      <c r="D312" s="185" t="s">
        <v>287</v>
      </c>
      <c r="E312" s="185">
        <v>14927</v>
      </c>
      <c r="F312" s="185" t="s">
        <v>149</v>
      </c>
      <c r="G312" s="189">
        <v>109901</v>
      </c>
      <c r="H312" s="184" t="s">
        <v>106</v>
      </c>
      <c r="I312" s="184" t="s">
        <v>294</v>
      </c>
      <c r="J312" s="184" t="s">
        <v>347</v>
      </c>
      <c r="K312" s="184" t="s">
        <v>295</v>
      </c>
      <c r="L312" s="185">
        <v>1</v>
      </c>
      <c r="M312" s="186">
        <v>2099.9499999999998</v>
      </c>
      <c r="N312" s="186">
        <v>0</v>
      </c>
      <c r="O312" s="125">
        <f t="shared" si="25"/>
        <v>2099.9499999999998</v>
      </c>
      <c r="P312" s="164"/>
    </row>
    <row r="313" spans="1:17" ht="14.5" x14ac:dyDescent="0.35">
      <c r="A313" s="184" t="s">
        <v>155</v>
      </c>
      <c r="B313" s="184" t="s">
        <v>401</v>
      </c>
      <c r="C313" s="184" t="s">
        <v>72</v>
      </c>
      <c r="D313" s="185" t="s">
        <v>287</v>
      </c>
      <c r="E313" s="185">
        <v>15004</v>
      </c>
      <c r="F313" s="185" t="s">
        <v>149</v>
      </c>
      <c r="G313" s="184">
        <v>101001</v>
      </c>
      <c r="H313" s="184" t="s">
        <v>108</v>
      </c>
      <c r="I313" s="184" t="s">
        <v>294</v>
      </c>
      <c r="J313" s="184" t="s">
        <v>295</v>
      </c>
      <c r="K313" s="184" t="s">
        <v>295</v>
      </c>
      <c r="L313" s="185">
        <v>1</v>
      </c>
      <c r="M313" s="186">
        <v>3740240.55</v>
      </c>
      <c r="N313" s="186">
        <v>3518000</v>
      </c>
      <c r="O313" s="125">
        <f t="shared" si="25"/>
        <v>222240.54999999981</v>
      </c>
      <c r="P313" s="125"/>
      <c r="Q313" s="73">
        <f t="shared" ref="Q313:Q337" si="29">M313*$Q$7*1.141</f>
        <v>426761.44675499998</v>
      </c>
    </row>
    <row r="314" spans="1:17" ht="14.5" x14ac:dyDescent="0.35">
      <c r="A314" s="184" t="s">
        <v>155</v>
      </c>
      <c r="B314" s="184" t="s">
        <v>401</v>
      </c>
      <c r="C314" s="184" t="s">
        <v>72</v>
      </c>
      <c r="D314" s="185" t="s">
        <v>287</v>
      </c>
      <c r="E314" s="185">
        <v>15005</v>
      </c>
      <c r="F314" s="185" t="s">
        <v>149</v>
      </c>
      <c r="G314" s="184">
        <v>101001</v>
      </c>
      <c r="H314" s="184" t="s">
        <v>108</v>
      </c>
      <c r="I314" s="184" t="s">
        <v>294</v>
      </c>
      <c r="J314" s="184" t="s">
        <v>349</v>
      </c>
      <c r="K314" s="184" t="s">
        <v>295</v>
      </c>
      <c r="L314" s="185">
        <v>1</v>
      </c>
      <c r="M314" s="186">
        <v>159936</v>
      </c>
      <c r="N314" s="186">
        <v>0</v>
      </c>
      <c r="O314" s="125">
        <f t="shared" si="25"/>
        <v>159936</v>
      </c>
      <c r="P314" s="125"/>
      <c r="Q314" s="73">
        <f t="shared" si="29"/>
        <v>18248.6976</v>
      </c>
    </row>
    <row r="315" spans="1:17" ht="14.5" x14ac:dyDescent="0.35">
      <c r="A315" s="184" t="s">
        <v>155</v>
      </c>
      <c r="B315" s="184" t="s">
        <v>401</v>
      </c>
      <c r="C315" s="184" t="s">
        <v>72</v>
      </c>
      <c r="D315" s="185" t="s">
        <v>287</v>
      </c>
      <c r="E315" s="185">
        <v>15006</v>
      </c>
      <c r="F315" s="185" t="s">
        <v>149</v>
      </c>
      <c r="G315" s="184">
        <v>101002</v>
      </c>
      <c r="H315" s="184" t="s">
        <v>109</v>
      </c>
      <c r="I315" s="184" t="s">
        <v>294</v>
      </c>
      <c r="J315" s="184" t="s">
        <v>295</v>
      </c>
      <c r="K315" s="184" t="s">
        <v>295</v>
      </c>
      <c r="L315" s="185">
        <v>1</v>
      </c>
      <c r="M315" s="186">
        <v>99904.45</v>
      </c>
      <c r="N315" s="186">
        <v>0</v>
      </c>
      <c r="O315" s="125">
        <f t="shared" si="25"/>
        <v>99904.45</v>
      </c>
      <c r="P315" s="125"/>
      <c r="Q315" s="73">
        <f t="shared" si="29"/>
        <v>11399.097744999999</v>
      </c>
    </row>
    <row r="316" spans="1:17" ht="14.5" x14ac:dyDescent="0.35">
      <c r="A316" s="184" t="s">
        <v>155</v>
      </c>
      <c r="B316" s="184" t="s">
        <v>401</v>
      </c>
      <c r="C316" s="184" t="s">
        <v>72</v>
      </c>
      <c r="D316" s="185" t="s">
        <v>287</v>
      </c>
      <c r="E316" s="185">
        <v>15007</v>
      </c>
      <c r="F316" s="185" t="s">
        <v>149</v>
      </c>
      <c r="G316" s="184">
        <v>101002</v>
      </c>
      <c r="H316" s="184" t="s">
        <v>109</v>
      </c>
      <c r="I316" s="184" t="s">
        <v>294</v>
      </c>
      <c r="J316" s="184" t="s">
        <v>349</v>
      </c>
      <c r="K316" s="184" t="s">
        <v>295</v>
      </c>
      <c r="L316" s="185">
        <v>1</v>
      </c>
      <c r="M316" s="186">
        <v>4744.92</v>
      </c>
      <c r="N316" s="186">
        <v>325000</v>
      </c>
      <c r="O316" s="125">
        <f t="shared" si="25"/>
        <v>-320255.08</v>
      </c>
      <c r="P316" s="125"/>
      <c r="Q316" s="73">
        <f t="shared" si="29"/>
        <v>541.39537200000007</v>
      </c>
    </row>
    <row r="317" spans="1:17" ht="14.5" x14ac:dyDescent="0.35">
      <c r="A317" s="184" t="s">
        <v>155</v>
      </c>
      <c r="B317" s="184" t="s">
        <v>401</v>
      </c>
      <c r="C317" s="184" t="s">
        <v>72</v>
      </c>
      <c r="D317" s="185" t="s">
        <v>287</v>
      </c>
      <c r="E317" s="185">
        <v>15008</v>
      </c>
      <c r="F317" s="185" t="s">
        <v>149</v>
      </c>
      <c r="G317" s="184">
        <v>101039</v>
      </c>
      <c r="H317" s="184" t="s">
        <v>111</v>
      </c>
      <c r="I317" s="184" t="s">
        <v>294</v>
      </c>
      <c r="J317" s="184" t="s">
        <v>295</v>
      </c>
      <c r="K317" s="184" t="s">
        <v>295</v>
      </c>
      <c r="L317" s="185">
        <v>1</v>
      </c>
      <c r="M317" s="186">
        <v>94912.5</v>
      </c>
      <c r="N317" s="186">
        <v>11000</v>
      </c>
      <c r="O317" s="125">
        <f t="shared" si="25"/>
        <v>83912.5</v>
      </c>
      <c r="P317" s="125"/>
      <c r="Q317" s="73">
        <f t="shared" si="29"/>
        <v>10829.516250000001</v>
      </c>
    </row>
    <row r="318" spans="1:17" ht="14.5" x14ac:dyDescent="0.35">
      <c r="A318" s="184" t="s">
        <v>155</v>
      </c>
      <c r="B318" s="184" t="s">
        <v>401</v>
      </c>
      <c r="C318" s="184" t="s">
        <v>72</v>
      </c>
      <c r="D318" s="185" t="s">
        <v>287</v>
      </c>
      <c r="E318" s="185">
        <v>15009</v>
      </c>
      <c r="F318" s="185" t="s">
        <v>149</v>
      </c>
      <c r="G318" s="184">
        <v>102002</v>
      </c>
      <c r="H318" s="184" t="s">
        <v>112</v>
      </c>
      <c r="I318" s="184" t="s">
        <v>294</v>
      </c>
      <c r="J318" s="184" t="s">
        <v>295</v>
      </c>
      <c r="K318" s="184" t="s">
        <v>295</v>
      </c>
      <c r="L318" s="185">
        <v>1</v>
      </c>
      <c r="M318" s="186">
        <v>19036.45</v>
      </c>
      <c r="N318" s="186">
        <v>0</v>
      </c>
      <c r="O318" s="125">
        <f t="shared" si="25"/>
        <v>19036.45</v>
      </c>
      <c r="P318" s="125"/>
      <c r="Q318" s="73">
        <f t="shared" si="29"/>
        <v>2172.0589450000002</v>
      </c>
    </row>
    <row r="319" spans="1:17" ht="14.5" x14ac:dyDescent="0.35">
      <c r="A319" s="184" t="s">
        <v>155</v>
      </c>
      <c r="B319" s="184" t="s">
        <v>401</v>
      </c>
      <c r="C319" s="184" t="s">
        <v>72</v>
      </c>
      <c r="D319" s="185" t="s">
        <v>287</v>
      </c>
      <c r="E319" s="185">
        <v>15010</v>
      </c>
      <c r="F319" s="185" t="s">
        <v>149</v>
      </c>
      <c r="G319" s="184">
        <v>102002</v>
      </c>
      <c r="H319" s="184" t="s">
        <v>112</v>
      </c>
      <c r="I319" s="184" t="s">
        <v>294</v>
      </c>
      <c r="J319" s="184" t="s">
        <v>347</v>
      </c>
      <c r="K319" s="184" t="s">
        <v>295</v>
      </c>
      <c r="L319" s="185">
        <v>1</v>
      </c>
      <c r="M319" s="186">
        <v>2799.22</v>
      </c>
      <c r="N319" s="186">
        <v>0</v>
      </c>
      <c r="O319" s="125">
        <f t="shared" si="25"/>
        <v>2799.22</v>
      </c>
      <c r="P319" s="125"/>
      <c r="Q319" s="73">
        <f t="shared" si="29"/>
        <v>319.39100199999996</v>
      </c>
    </row>
    <row r="320" spans="1:17" ht="14.5" x14ac:dyDescent="0.35">
      <c r="A320" s="184" t="s">
        <v>155</v>
      </c>
      <c r="B320" s="184" t="s">
        <v>401</v>
      </c>
      <c r="C320" s="184" t="s">
        <v>72</v>
      </c>
      <c r="D320" s="185" t="s">
        <v>287</v>
      </c>
      <c r="E320" s="185">
        <v>15011</v>
      </c>
      <c r="F320" s="185" t="s">
        <v>149</v>
      </c>
      <c r="G320" s="184">
        <v>102003</v>
      </c>
      <c r="H320" s="184" t="s">
        <v>110</v>
      </c>
      <c r="I320" s="184" t="s">
        <v>294</v>
      </c>
      <c r="J320" s="184" t="s">
        <v>295</v>
      </c>
      <c r="K320" s="184" t="s">
        <v>295</v>
      </c>
      <c r="L320" s="185">
        <v>1</v>
      </c>
      <c r="M320" s="186">
        <v>165353.28</v>
      </c>
      <c r="N320" s="186">
        <v>98000</v>
      </c>
      <c r="O320" s="125">
        <f t="shared" si="25"/>
        <v>67353.279999999999</v>
      </c>
      <c r="P320" s="125"/>
      <c r="Q320" s="73">
        <f t="shared" si="29"/>
        <v>18866.809248000001</v>
      </c>
    </row>
    <row r="321" spans="1:17" ht="14.5" x14ac:dyDescent="0.35">
      <c r="A321" s="184" t="s">
        <v>155</v>
      </c>
      <c r="B321" s="184" t="s">
        <v>401</v>
      </c>
      <c r="C321" s="184" t="s">
        <v>72</v>
      </c>
      <c r="D321" s="185" t="s">
        <v>287</v>
      </c>
      <c r="E321" s="185">
        <v>15012</v>
      </c>
      <c r="F321" s="185" t="s">
        <v>149</v>
      </c>
      <c r="G321" s="184">
        <v>102003</v>
      </c>
      <c r="H321" s="184" t="s">
        <v>110</v>
      </c>
      <c r="I321" s="184" t="s">
        <v>294</v>
      </c>
      <c r="J321" s="184" t="s">
        <v>349</v>
      </c>
      <c r="K321" s="184" t="s">
        <v>295</v>
      </c>
      <c r="L321" s="185">
        <v>1</v>
      </c>
      <c r="M321" s="186">
        <v>160555.88</v>
      </c>
      <c r="N321" s="186">
        <v>0</v>
      </c>
      <c r="O321" s="125">
        <f t="shared" si="25"/>
        <v>160555.88</v>
      </c>
      <c r="P321" s="125"/>
      <c r="Q321" s="73">
        <f t="shared" si="29"/>
        <v>18319.425908000001</v>
      </c>
    </row>
    <row r="322" spans="1:17" ht="14.5" x14ac:dyDescent="0.35">
      <c r="A322" s="184" t="s">
        <v>155</v>
      </c>
      <c r="B322" s="184" t="s">
        <v>401</v>
      </c>
      <c r="C322" s="184" t="s">
        <v>72</v>
      </c>
      <c r="D322" s="185" t="s">
        <v>287</v>
      </c>
      <c r="E322" s="185">
        <v>15013</v>
      </c>
      <c r="F322" s="185" t="s">
        <v>149</v>
      </c>
      <c r="G322" s="184">
        <v>102005</v>
      </c>
      <c r="H322" s="184" t="s">
        <v>116</v>
      </c>
      <c r="I322" s="184" t="s">
        <v>294</v>
      </c>
      <c r="J322" s="184" t="s">
        <v>295</v>
      </c>
      <c r="K322" s="184" t="s">
        <v>295</v>
      </c>
      <c r="L322" s="185">
        <v>1</v>
      </c>
      <c r="M322" s="186">
        <v>28791.65</v>
      </c>
      <c r="N322" s="186">
        <v>0</v>
      </c>
      <c r="O322" s="125">
        <f t="shared" si="25"/>
        <v>28791.65</v>
      </c>
      <c r="P322" s="125"/>
      <c r="Q322" s="73">
        <f t="shared" si="29"/>
        <v>3285.1272650000005</v>
      </c>
    </row>
    <row r="323" spans="1:17" ht="14.5" x14ac:dyDescent="0.35">
      <c r="A323" s="184" t="s">
        <v>155</v>
      </c>
      <c r="B323" s="184" t="s">
        <v>401</v>
      </c>
      <c r="C323" s="184" t="s">
        <v>72</v>
      </c>
      <c r="D323" s="185" t="s">
        <v>287</v>
      </c>
      <c r="E323" s="185">
        <v>15014</v>
      </c>
      <c r="F323" s="185" t="s">
        <v>149</v>
      </c>
      <c r="G323" s="184">
        <v>102062</v>
      </c>
      <c r="H323" s="184" t="s">
        <v>117</v>
      </c>
      <c r="I323" s="184" t="s">
        <v>294</v>
      </c>
      <c r="J323" s="184" t="s">
        <v>295</v>
      </c>
      <c r="K323" s="184" t="s">
        <v>295</v>
      </c>
      <c r="L323" s="185">
        <v>1</v>
      </c>
      <c r="M323" s="186">
        <v>3041.92</v>
      </c>
      <c r="N323" s="186">
        <v>0</v>
      </c>
      <c r="O323" s="125">
        <f t="shared" si="25"/>
        <v>3041.92</v>
      </c>
      <c r="P323" s="125"/>
      <c r="Q323" s="73">
        <f t="shared" si="29"/>
        <v>347.08307200000002</v>
      </c>
    </row>
    <row r="324" spans="1:17" ht="14.5" x14ac:dyDescent="0.35">
      <c r="A324" s="184" t="s">
        <v>155</v>
      </c>
      <c r="B324" s="184" t="s">
        <v>401</v>
      </c>
      <c r="C324" s="184" t="s">
        <v>72</v>
      </c>
      <c r="D324" s="185" t="s">
        <v>287</v>
      </c>
      <c r="E324" s="185">
        <v>15015</v>
      </c>
      <c r="F324" s="185" t="s">
        <v>149</v>
      </c>
      <c r="G324" s="184">
        <v>102062</v>
      </c>
      <c r="H324" s="184" t="s">
        <v>117</v>
      </c>
      <c r="I324" s="184" t="s">
        <v>294</v>
      </c>
      <c r="J324" s="184" t="s">
        <v>349</v>
      </c>
      <c r="K324" s="184" t="s">
        <v>295</v>
      </c>
      <c r="L324" s="185">
        <v>1</v>
      </c>
      <c r="M324" s="186">
        <v>188.16</v>
      </c>
      <c r="N324" s="186">
        <v>0</v>
      </c>
      <c r="O324" s="125">
        <f t="shared" si="25"/>
        <v>188.16</v>
      </c>
      <c r="P324" s="125"/>
      <c r="Q324" s="73">
        <f t="shared" si="29"/>
        <v>21.469055999999998</v>
      </c>
    </row>
    <row r="325" spans="1:17" ht="14.5" x14ac:dyDescent="0.35">
      <c r="A325" s="184" t="s">
        <v>155</v>
      </c>
      <c r="B325" s="184" t="s">
        <v>401</v>
      </c>
      <c r="C325" s="184" t="s">
        <v>72</v>
      </c>
      <c r="D325" s="185" t="s">
        <v>287</v>
      </c>
      <c r="E325" s="185">
        <v>15016</v>
      </c>
      <c r="F325" s="185" t="s">
        <v>149</v>
      </c>
      <c r="G325" s="184">
        <v>103001</v>
      </c>
      <c r="H325" s="184" t="s">
        <v>113</v>
      </c>
      <c r="I325" s="184" t="s">
        <v>294</v>
      </c>
      <c r="J325" s="184" t="s">
        <v>295</v>
      </c>
      <c r="K325" s="184" t="s">
        <v>295</v>
      </c>
      <c r="L325" s="185">
        <v>1</v>
      </c>
      <c r="M325" s="186">
        <v>36676.800000000003</v>
      </c>
      <c r="N325" s="186">
        <v>0</v>
      </c>
      <c r="O325" s="125">
        <f t="shared" si="25"/>
        <v>36676.800000000003</v>
      </c>
      <c r="P325" s="125"/>
      <c r="Q325" s="73">
        <f t="shared" si="29"/>
        <v>4184.8228800000006</v>
      </c>
    </row>
    <row r="326" spans="1:17" ht="14.5" x14ac:dyDescent="0.35">
      <c r="A326" s="184" t="s">
        <v>155</v>
      </c>
      <c r="B326" s="184" t="s">
        <v>401</v>
      </c>
      <c r="C326" s="184" t="s">
        <v>72</v>
      </c>
      <c r="D326" s="185" t="s">
        <v>287</v>
      </c>
      <c r="E326" s="185">
        <v>15017</v>
      </c>
      <c r="F326" s="185" t="s">
        <v>149</v>
      </c>
      <c r="G326" s="184">
        <v>103001</v>
      </c>
      <c r="H326" s="184" t="s">
        <v>113</v>
      </c>
      <c r="I326" s="184" t="s">
        <v>294</v>
      </c>
      <c r="J326" s="184" t="s">
        <v>347</v>
      </c>
      <c r="K326" s="184" t="s">
        <v>295</v>
      </c>
      <c r="L326" s="185">
        <v>1</v>
      </c>
      <c r="M326" s="186">
        <v>1582.16</v>
      </c>
      <c r="N326" s="186">
        <v>0</v>
      </c>
      <c r="O326" s="125">
        <f t="shared" si="25"/>
        <v>1582.16</v>
      </c>
      <c r="P326" s="125"/>
      <c r="Q326" s="73">
        <f t="shared" si="29"/>
        <v>180.52445600000001</v>
      </c>
    </row>
    <row r="327" spans="1:17" ht="14.5" x14ac:dyDescent="0.35">
      <c r="A327" s="184" t="s">
        <v>155</v>
      </c>
      <c r="B327" s="184" t="s">
        <v>401</v>
      </c>
      <c r="C327" s="184" t="s">
        <v>72</v>
      </c>
      <c r="D327" s="185" t="s">
        <v>287</v>
      </c>
      <c r="E327" s="185">
        <v>15018</v>
      </c>
      <c r="F327" s="185" t="s">
        <v>149</v>
      </c>
      <c r="G327" s="184">
        <v>103062</v>
      </c>
      <c r="H327" s="184" t="s">
        <v>118</v>
      </c>
      <c r="I327" s="184" t="s">
        <v>294</v>
      </c>
      <c r="J327" s="184" t="s">
        <v>295</v>
      </c>
      <c r="K327" s="184" t="s">
        <v>295</v>
      </c>
      <c r="L327" s="185">
        <v>1</v>
      </c>
      <c r="M327" s="186">
        <v>537.6</v>
      </c>
      <c r="N327" s="186">
        <v>0</v>
      </c>
      <c r="O327" s="125">
        <f t="shared" si="25"/>
        <v>537.6</v>
      </c>
      <c r="P327" s="125"/>
      <c r="Q327" s="73">
        <f t="shared" si="29"/>
        <v>61.340160000000004</v>
      </c>
    </row>
    <row r="328" spans="1:17" ht="14.5" x14ac:dyDescent="0.35">
      <c r="A328" s="184" t="s">
        <v>155</v>
      </c>
      <c r="B328" s="184" t="s">
        <v>401</v>
      </c>
      <c r="C328" s="184" t="s">
        <v>72</v>
      </c>
      <c r="D328" s="185" t="s">
        <v>287</v>
      </c>
      <c r="E328" s="185">
        <v>15019</v>
      </c>
      <c r="F328" s="185" t="s">
        <v>149</v>
      </c>
      <c r="G328" s="184">
        <v>103069</v>
      </c>
      <c r="H328" s="184" t="s">
        <v>225</v>
      </c>
      <c r="I328" s="184" t="s">
        <v>294</v>
      </c>
      <c r="J328" s="184" t="s">
        <v>295</v>
      </c>
      <c r="K328" s="184" t="s">
        <v>295</v>
      </c>
      <c r="L328" s="185">
        <v>1</v>
      </c>
      <c r="M328" s="186">
        <v>7895.97</v>
      </c>
      <c r="N328" s="186">
        <v>0</v>
      </c>
      <c r="O328" s="125">
        <f t="shared" ref="O328:O391" si="30">M328-N328</f>
        <v>7895.97</v>
      </c>
      <c r="P328" s="125"/>
      <c r="Q328" s="73">
        <f t="shared" si="29"/>
        <v>900.93017700000007</v>
      </c>
    </row>
    <row r="329" spans="1:17" ht="14.5" x14ac:dyDescent="0.35">
      <c r="A329" s="184" t="s">
        <v>155</v>
      </c>
      <c r="B329" s="184" t="s">
        <v>401</v>
      </c>
      <c r="C329" s="184" t="s">
        <v>72</v>
      </c>
      <c r="D329" s="185" t="s">
        <v>287</v>
      </c>
      <c r="E329" s="185">
        <v>15020</v>
      </c>
      <c r="F329" s="185" t="s">
        <v>149</v>
      </c>
      <c r="G329" s="184">
        <v>103069</v>
      </c>
      <c r="H329" s="184" t="s">
        <v>225</v>
      </c>
      <c r="I329" s="184" t="s">
        <v>294</v>
      </c>
      <c r="J329" s="184" t="s">
        <v>349</v>
      </c>
      <c r="K329" s="184" t="s">
        <v>295</v>
      </c>
      <c r="L329" s="185">
        <v>1</v>
      </c>
      <c r="M329" s="186">
        <v>495.56</v>
      </c>
      <c r="N329" s="186">
        <v>0</v>
      </c>
      <c r="O329" s="125">
        <f t="shared" si="30"/>
        <v>495.56</v>
      </c>
      <c r="P329" s="125"/>
      <c r="Q329" s="73">
        <f t="shared" si="29"/>
        <v>56.543396000000008</v>
      </c>
    </row>
    <row r="330" spans="1:17" ht="14.5" x14ac:dyDescent="0.35">
      <c r="A330" s="184" t="s">
        <v>155</v>
      </c>
      <c r="B330" s="184" t="s">
        <v>401</v>
      </c>
      <c r="C330" s="184" t="s">
        <v>72</v>
      </c>
      <c r="D330" s="185" t="s">
        <v>287</v>
      </c>
      <c r="E330" s="185">
        <v>15021</v>
      </c>
      <c r="F330" s="185" t="s">
        <v>149</v>
      </c>
      <c r="G330" s="184">
        <v>104000</v>
      </c>
      <c r="H330" s="184" t="s">
        <v>114</v>
      </c>
      <c r="I330" s="184" t="s">
        <v>294</v>
      </c>
      <c r="J330" s="184" t="s">
        <v>295</v>
      </c>
      <c r="K330" s="184" t="s">
        <v>295</v>
      </c>
      <c r="L330" s="185">
        <v>1</v>
      </c>
      <c r="M330" s="186">
        <v>24285.54</v>
      </c>
      <c r="N330" s="186">
        <v>28000</v>
      </c>
      <c r="O330" s="125">
        <f t="shared" si="30"/>
        <v>-3714.4599999999991</v>
      </c>
      <c r="P330" s="125"/>
      <c r="Q330" s="73">
        <f t="shared" si="29"/>
        <v>2770.980114</v>
      </c>
    </row>
    <row r="331" spans="1:17" ht="14.5" x14ac:dyDescent="0.35">
      <c r="A331" s="184" t="s">
        <v>155</v>
      </c>
      <c r="B331" s="184" t="s">
        <v>401</v>
      </c>
      <c r="C331" s="184" t="s">
        <v>72</v>
      </c>
      <c r="D331" s="185" t="s">
        <v>287</v>
      </c>
      <c r="E331" s="185">
        <v>15022</v>
      </c>
      <c r="F331" s="185" t="s">
        <v>149</v>
      </c>
      <c r="G331" s="184">
        <v>104000</v>
      </c>
      <c r="H331" s="184" t="s">
        <v>114</v>
      </c>
      <c r="I331" s="184" t="s">
        <v>294</v>
      </c>
      <c r="J331" s="184" t="s">
        <v>349</v>
      </c>
      <c r="K331" s="184" t="s">
        <v>295</v>
      </c>
      <c r="L331" s="185">
        <v>1</v>
      </c>
      <c r="M331" s="186">
        <v>29861.46</v>
      </c>
      <c r="N331" s="186">
        <v>36000</v>
      </c>
      <c r="O331" s="125">
        <f t="shared" si="30"/>
        <v>-6138.5400000000009</v>
      </c>
      <c r="P331" s="125"/>
      <c r="Q331" s="73">
        <f t="shared" si="29"/>
        <v>3407.1925860000001</v>
      </c>
    </row>
    <row r="332" spans="1:17" ht="14.5" x14ac:dyDescent="0.35">
      <c r="A332" s="184" t="s">
        <v>155</v>
      </c>
      <c r="B332" s="184" t="s">
        <v>401</v>
      </c>
      <c r="C332" s="184" t="s">
        <v>72</v>
      </c>
      <c r="D332" s="185" t="s">
        <v>287</v>
      </c>
      <c r="E332" s="185">
        <v>15023</v>
      </c>
      <c r="F332" s="185" t="s">
        <v>149</v>
      </c>
      <c r="G332" s="184">
        <v>105003</v>
      </c>
      <c r="H332" s="184" t="s">
        <v>317</v>
      </c>
      <c r="I332" s="184" t="s">
        <v>294</v>
      </c>
      <c r="J332" s="184" t="s">
        <v>295</v>
      </c>
      <c r="K332" s="184" t="s">
        <v>295</v>
      </c>
      <c r="L332" s="185">
        <v>1</v>
      </c>
      <c r="M332" s="186">
        <v>246101.55</v>
      </c>
      <c r="N332" s="186">
        <v>0</v>
      </c>
      <c r="O332" s="125">
        <f t="shared" si="30"/>
        <v>246101.55</v>
      </c>
      <c r="P332" s="125"/>
      <c r="Q332" s="73">
        <f t="shared" si="29"/>
        <v>28080.186855</v>
      </c>
    </row>
    <row r="333" spans="1:17" ht="14.5" x14ac:dyDescent="0.35">
      <c r="A333" s="184" t="s">
        <v>155</v>
      </c>
      <c r="B333" s="184" t="s">
        <v>401</v>
      </c>
      <c r="C333" s="184" t="s">
        <v>72</v>
      </c>
      <c r="D333" s="185" t="s">
        <v>287</v>
      </c>
      <c r="E333" s="185">
        <v>15024</v>
      </c>
      <c r="F333" s="185" t="s">
        <v>149</v>
      </c>
      <c r="G333" s="184">
        <v>105010</v>
      </c>
      <c r="H333" s="184" t="s">
        <v>124</v>
      </c>
      <c r="I333" s="184" t="s">
        <v>294</v>
      </c>
      <c r="J333" s="184" t="s">
        <v>295</v>
      </c>
      <c r="K333" s="184" t="s">
        <v>295</v>
      </c>
      <c r="L333" s="185">
        <v>1</v>
      </c>
      <c r="M333" s="186">
        <v>3677.57</v>
      </c>
      <c r="N333" s="186">
        <v>0</v>
      </c>
      <c r="O333" s="125">
        <f t="shared" si="30"/>
        <v>3677.57</v>
      </c>
      <c r="P333" s="125"/>
      <c r="Q333" s="73">
        <f t="shared" si="29"/>
        <v>419.61073700000009</v>
      </c>
    </row>
    <row r="334" spans="1:17" ht="14.5" x14ac:dyDescent="0.35">
      <c r="A334" s="184" t="s">
        <v>155</v>
      </c>
      <c r="B334" s="184" t="s">
        <v>401</v>
      </c>
      <c r="C334" s="184" t="s">
        <v>72</v>
      </c>
      <c r="D334" s="185" t="s">
        <v>287</v>
      </c>
      <c r="E334" s="185">
        <v>15025</v>
      </c>
      <c r="F334" s="185" t="s">
        <v>149</v>
      </c>
      <c r="G334" s="184">
        <v>105010</v>
      </c>
      <c r="H334" s="184" t="s">
        <v>124</v>
      </c>
      <c r="I334" s="184" t="s">
        <v>294</v>
      </c>
      <c r="J334" s="184" t="s">
        <v>349</v>
      </c>
      <c r="K334" s="184" t="s">
        <v>295</v>
      </c>
      <c r="L334" s="185">
        <v>1</v>
      </c>
      <c r="M334" s="186">
        <v>206.19</v>
      </c>
      <c r="N334" s="186">
        <v>0</v>
      </c>
      <c r="O334" s="125">
        <f t="shared" si="30"/>
        <v>206.19</v>
      </c>
      <c r="P334" s="125"/>
      <c r="Q334" s="73">
        <f t="shared" si="29"/>
        <v>23.526278999999999</v>
      </c>
    </row>
    <row r="335" spans="1:17" ht="14.5" x14ac:dyDescent="0.35">
      <c r="A335" s="184" t="s">
        <v>155</v>
      </c>
      <c r="B335" s="184" t="s">
        <v>401</v>
      </c>
      <c r="C335" s="184" t="s">
        <v>72</v>
      </c>
      <c r="D335" s="185" t="s">
        <v>287</v>
      </c>
      <c r="E335" s="185">
        <v>15026</v>
      </c>
      <c r="F335" s="185" t="s">
        <v>149</v>
      </c>
      <c r="G335" s="184">
        <v>105019</v>
      </c>
      <c r="H335" s="184" t="s">
        <v>115</v>
      </c>
      <c r="I335" s="184" t="s">
        <v>294</v>
      </c>
      <c r="J335" s="184" t="s">
        <v>295</v>
      </c>
      <c r="K335" s="184" t="s">
        <v>295</v>
      </c>
      <c r="L335" s="185">
        <v>1</v>
      </c>
      <c r="M335" s="186">
        <v>142.69999999999999</v>
      </c>
      <c r="N335" s="186">
        <v>0</v>
      </c>
      <c r="O335" s="125">
        <f t="shared" si="30"/>
        <v>142.69999999999999</v>
      </c>
      <c r="P335" s="125"/>
      <c r="Q335" s="73">
        <f t="shared" si="29"/>
        <v>16.282070000000001</v>
      </c>
    </row>
    <row r="336" spans="1:17" ht="14.5" x14ac:dyDescent="0.35">
      <c r="A336" s="184" t="s">
        <v>155</v>
      </c>
      <c r="B336" s="184" t="s">
        <v>401</v>
      </c>
      <c r="C336" s="184" t="s">
        <v>72</v>
      </c>
      <c r="D336" s="185" t="s">
        <v>287</v>
      </c>
      <c r="E336" s="185">
        <v>15027</v>
      </c>
      <c r="F336" s="185" t="s">
        <v>149</v>
      </c>
      <c r="G336" s="184">
        <v>105098</v>
      </c>
      <c r="H336" s="184" t="s">
        <v>314</v>
      </c>
      <c r="I336" s="184" t="s">
        <v>294</v>
      </c>
      <c r="J336" s="184" t="s">
        <v>391</v>
      </c>
      <c r="K336" s="184" t="s">
        <v>295</v>
      </c>
      <c r="L336" s="185">
        <v>1</v>
      </c>
      <c r="M336" s="186">
        <v>-4392</v>
      </c>
      <c r="N336" s="186">
        <v>0</v>
      </c>
      <c r="O336" s="125">
        <f t="shared" si="30"/>
        <v>-4392</v>
      </c>
      <c r="P336" s="125"/>
      <c r="Q336" s="73">
        <f t="shared" si="29"/>
        <v>-501.12720000000007</v>
      </c>
    </row>
    <row r="337" spans="1:17" ht="14.5" x14ac:dyDescent="0.35">
      <c r="A337" s="184" t="s">
        <v>155</v>
      </c>
      <c r="B337" s="184" t="s">
        <v>401</v>
      </c>
      <c r="C337" s="184" t="s">
        <v>72</v>
      </c>
      <c r="D337" s="185" t="s">
        <v>287</v>
      </c>
      <c r="E337" s="185">
        <v>15028</v>
      </c>
      <c r="F337" s="185" t="s">
        <v>149</v>
      </c>
      <c r="G337" s="184">
        <v>105099</v>
      </c>
      <c r="H337" s="184" t="s">
        <v>107</v>
      </c>
      <c r="I337" s="184" t="s">
        <v>294</v>
      </c>
      <c r="J337" s="184" t="s">
        <v>392</v>
      </c>
      <c r="K337" s="184" t="s">
        <v>295</v>
      </c>
      <c r="L337" s="185">
        <v>1</v>
      </c>
      <c r="M337" s="186">
        <v>4392</v>
      </c>
      <c r="N337" s="186">
        <v>0</v>
      </c>
      <c r="O337" s="125">
        <f t="shared" si="30"/>
        <v>4392</v>
      </c>
      <c r="P337" s="125"/>
      <c r="Q337" s="73">
        <f t="shared" si="29"/>
        <v>501.12720000000007</v>
      </c>
    </row>
    <row r="338" spans="1:17" ht="14.5" x14ac:dyDescent="0.35">
      <c r="A338" s="184" t="s">
        <v>155</v>
      </c>
      <c r="B338" s="184" t="s">
        <v>401</v>
      </c>
      <c r="C338" s="184" t="s">
        <v>72</v>
      </c>
      <c r="D338" s="185" t="s">
        <v>287</v>
      </c>
      <c r="E338" s="185">
        <v>15029</v>
      </c>
      <c r="F338" s="185" t="s">
        <v>149</v>
      </c>
      <c r="G338" s="189">
        <v>109001</v>
      </c>
      <c r="H338" s="184" t="s">
        <v>105</v>
      </c>
      <c r="I338" s="184" t="s">
        <v>294</v>
      </c>
      <c r="J338" s="184" t="s">
        <v>295</v>
      </c>
      <c r="K338" s="184" t="s">
        <v>295</v>
      </c>
      <c r="L338" s="185">
        <v>1</v>
      </c>
      <c r="M338" s="186">
        <v>433040.89</v>
      </c>
      <c r="N338" s="186">
        <v>365000</v>
      </c>
      <c r="O338" s="125">
        <f t="shared" si="30"/>
        <v>68040.890000000014</v>
      </c>
      <c r="P338" s="164">
        <f t="shared" ref="P338:P340" si="31">M338*-1</f>
        <v>-433040.89</v>
      </c>
    </row>
    <row r="339" spans="1:17" ht="14.5" x14ac:dyDescent="0.35">
      <c r="A339" s="184" t="s">
        <v>155</v>
      </c>
      <c r="B339" s="184" t="s">
        <v>401</v>
      </c>
      <c r="C339" s="184" t="s">
        <v>72</v>
      </c>
      <c r="D339" s="185" t="s">
        <v>287</v>
      </c>
      <c r="E339" s="185">
        <v>15030</v>
      </c>
      <c r="F339" s="185" t="s">
        <v>149</v>
      </c>
      <c r="G339" s="189">
        <v>109001</v>
      </c>
      <c r="H339" s="184" t="s">
        <v>105</v>
      </c>
      <c r="I339" s="184" t="s">
        <v>294</v>
      </c>
      <c r="J339" s="184" t="s">
        <v>349</v>
      </c>
      <c r="K339" s="184" t="s">
        <v>295</v>
      </c>
      <c r="L339" s="185">
        <v>1</v>
      </c>
      <c r="M339" s="186">
        <v>26680.080000000002</v>
      </c>
      <c r="N339" s="186">
        <v>27000</v>
      </c>
      <c r="O339" s="125">
        <f t="shared" si="30"/>
        <v>-319.91999999999825</v>
      </c>
      <c r="P339" s="164">
        <f t="shared" si="31"/>
        <v>-26680.080000000002</v>
      </c>
    </row>
    <row r="340" spans="1:17" ht="14.5" x14ac:dyDescent="0.35">
      <c r="A340" s="184" t="s">
        <v>155</v>
      </c>
      <c r="B340" s="184" t="s">
        <v>401</v>
      </c>
      <c r="C340" s="184" t="s">
        <v>72</v>
      </c>
      <c r="D340" s="185" t="s">
        <v>287</v>
      </c>
      <c r="E340" s="185">
        <v>15031</v>
      </c>
      <c r="F340" s="185" t="s">
        <v>149</v>
      </c>
      <c r="G340" s="189">
        <v>109001</v>
      </c>
      <c r="H340" s="184" t="s">
        <v>105</v>
      </c>
      <c r="I340" s="184" t="s">
        <v>294</v>
      </c>
      <c r="J340" s="184" t="s">
        <v>347</v>
      </c>
      <c r="K340" s="184" t="s">
        <v>295</v>
      </c>
      <c r="L340" s="185">
        <v>1</v>
      </c>
      <c r="M340" s="186">
        <v>441.14</v>
      </c>
      <c r="N340" s="186">
        <v>0</v>
      </c>
      <c r="O340" s="125">
        <f t="shared" si="30"/>
        <v>441.14</v>
      </c>
      <c r="P340" s="164">
        <f t="shared" si="31"/>
        <v>-441.14</v>
      </c>
    </row>
    <row r="341" spans="1:17" ht="14.5" x14ac:dyDescent="0.35">
      <c r="A341" s="184" t="s">
        <v>155</v>
      </c>
      <c r="B341" s="184" t="s">
        <v>401</v>
      </c>
      <c r="C341" s="184" t="s">
        <v>72</v>
      </c>
      <c r="D341" s="185" t="s">
        <v>287</v>
      </c>
      <c r="E341" s="185">
        <v>15032</v>
      </c>
      <c r="F341" s="185" t="s">
        <v>149</v>
      </c>
      <c r="G341" s="189">
        <v>109901</v>
      </c>
      <c r="H341" s="184" t="s">
        <v>106</v>
      </c>
      <c r="I341" s="184" t="s">
        <v>294</v>
      </c>
      <c r="J341" s="184" t="s">
        <v>295</v>
      </c>
      <c r="K341" s="184" t="s">
        <v>295</v>
      </c>
      <c r="L341" s="185">
        <v>1</v>
      </c>
      <c r="M341" s="186">
        <v>564117.27</v>
      </c>
      <c r="N341" s="186">
        <v>566000</v>
      </c>
      <c r="O341" s="125">
        <f t="shared" si="30"/>
        <v>-1882.7299999999814</v>
      </c>
      <c r="P341" s="164"/>
    </row>
    <row r="342" spans="1:17" ht="14.5" x14ac:dyDescent="0.35">
      <c r="A342" s="184" t="s">
        <v>155</v>
      </c>
      <c r="B342" s="184" t="s">
        <v>401</v>
      </c>
      <c r="C342" s="184" t="s">
        <v>72</v>
      </c>
      <c r="D342" s="185" t="s">
        <v>287</v>
      </c>
      <c r="E342" s="185">
        <v>15033</v>
      </c>
      <c r="F342" s="185" t="s">
        <v>149</v>
      </c>
      <c r="G342" s="189">
        <v>109901</v>
      </c>
      <c r="H342" s="184" t="s">
        <v>106</v>
      </c>
      <c r="I342" s="184" t="s">
        <v>294</v>
      </c>
      <c r="J342" s="184" t="s">
        <v>349</v>
      </c>
      <c r="K342" s="184" t="s">
        <v>295</v>
      </c>
      <c r="L342" s="185">
        <v>1</v>
      </c>
      <c r="M342" s="186">
        <v>48725.3</v>
      </c>
      <c r="N342" s="186">
        <v>50000</v>
      </c>
      <c r="O342" s="125">
        <f t="shared" si="30"/>
        <v>-1274.6999999999971</v>
      </c>
      <c r="P342" s="164"/>
    </row>
    <row r="343" spans="1:17" ht="14.5" x14ac:dyDescent="0.35">
      <c r="A343" s="184" t="s">
        <v>155</v>
      </c>
      <c r="B343" s="184" t="s">
        <v>401</v>
      </c>
      <c r="C343" s="184" t="s">
        <v>72</v>
      </c>
      <c r="D343" s="185" t="s">
        <v>287</v>
      </c>
      <c r="E343" s="185">
        <v>15034</v>
      </c>
      <c r="F343" s="185" t="s">
        <v>149</v>
      </c>
      <c r="G343" s="189">
        <v>109901</v>
      </c>
      <c r="H343" s="184" t="s">
        <v>106</v>
      </c>
      <c r="I343" s="184" t="s">
        <v>294</v>
      </c>
      <c r="J343" s="184" t="s">
        <v>392</v>
      </c>
      <c r="K343" s="184" t="s">
        <v>295</v>
      </c>
      <c r="L343" s="185">
        <v>1</v>
      </c>
      <c r="M343" s="186">
        <v>619.32000000000005</v>
      </c>
      <c r="N343" s="186">
        <v>0</v>
      </c>
      <c r="O343" s="125">
        <f t="shared" si="30"/>
        <v>619.32000000000005</v>
      </c>
      <c r="P343" s="125"/>
    </row>
    <row r="344" spans="1:17" ht="14.5" x14ac:dyDescent="0.35">
      <c r="A344" s="184" t="s">
        <v>155</v>
      </c>
      <c r="B344" s="184" t="s">
        <v>401</v>
      </c>
      <c r="C344" s="184" t="s">
        <v>72</v>
      </c>
      <c r="D344" s="185" t="s">
        <v>287</v>
      </c>
      <c r="E344" s="185">
        <v>15035</v>
      </c>
      <c r="F344" s="185" t="s">
        <v>149</v>
      </c>
      <c r="G344" s="189">
        <v>109901</v>
      </c>
      <c r="H344" s="184" t="s">
        <v>106</v>
      </c>
      <c r="I344" s="184" t="s">
        <v>294</v>
      </c>
      <c r="J344" s="184" t="s">
        <v>347</v>
      </c>
      <c r="K344" s="184" t="s">
        <v>295</v>
      </c>
      <c r="L344" s="185">
        <v>1</v>
      </c>
      <c r="M344" s="186">
        <v>679.97</v>
      </c>
      <c r="N344" s="186">
        <v>0</v>
      </c>
      <c r="O344" s="125">
        <f t="shared" si="30"/>
        <v>679.97</v>
      </c>
      <c r="P344" s="125"/>
    </row>
    <row r="345" spans="1:17" ht="14.5" x14ac:dyDescent="0.35">
      <c r="A345" s="184" t="s">
        <v>155</v>
      </c>
      <c r="B345" s="184" t="s">
        <v>402</v>
      </c>
      <c r="C345" s="184" t="s">
        <v>173</v>
      </c>
      <c r="D345" s="185" t="s">
        <v>287</v>
      </c>
      <c r="E345" s="185">
        <v>15137</v>
      </c>
      <c r="F345" s="185" t="s">
        <v>149</v>
      </c>
      <c r="G345" s="184">
        <v>101001</v>
      </c>
      <c r="H345" s="184" t="s">
        <v>108</v>
      </c>
      <c r="I345" s="184" t="s">
        <v>294</v>
      </c>
      <c r="J345" s="184" t="s">
        <v>295</v>
      </c>
      <c r="K345" s="184" t="s">
        <v>295</v>
      </c>
      <c r="L345" s="185">
        <v>1</v>
      </c>
      <c r="M345" s="186">
        <v>8084440.7300000004</v>
      </c>
      <c r="N345" s="186">
        <v>8487000</v>
      </c>
      <c r="O345" s="125">
        <f t="shared" si="30"/>
        <v>-402559.26999999955</v>
      </c>
      <c r="P345" s="125"/>
      <c r="Q345" s="73">
        <f t="shared" ref="Q345:Q374" si="32">M345*$Q$7*1.141</f>
        <v>922434.68729300017</v>
      </c>
    </row>
    <row r="346" spans="1:17" ht="14.5" x14ac:dyDescent="0.35">
      <c r="A346" s="184" t="s">
        <v>155</v>
      </c>
      <c r="B346" s="184" t="s">
        <v>402</v>
      </c>
      <c r="C346" s="184" t="s">
        <v>173</v>
      </c>
      <c r="D346" s="185" t="s">
        <v>287</v>
      </c>
      <c r="E346" s="185">
        <v>15138</v>
      </c>
      <c r="F346" s="185" t="s">
        <v>149</v>
      </c>
      <c r="G346" s="184">
        <v>101002</v>
      </c>
      <c r="H346" s="184" t="s">
        <v>109</v>
      </c>
      <c r="I346" s="184" t="s">
        <v>294</v>
      </c>
      <c r="J346" s="184" t="s">
        <v>295</v>
      </c>
      <c r="K346" s="184" t="s">
        <v>295</v>
      </c>
      <c r="L346" s="185">
        <v>1</v>
      </c>
      <c r="M346" s="186">
        <v>26861.9</v>
      </c>
      <c r="N346" s="186">
        <v>0</v>
      </c>
      <c r="O346" s="125">
        <f t="shared" si="30"/>
        <v>26861.9</v>
      </c>
      <c r="P346" s="125"/>
      <c r="Q346" s="73">
        <f t="shared" si="32"/>
        <v>3064.9427900000005</v>
      </c>
    </row>
    <row r="347" spans="1:17" ht="14.5" x14ac:dyDescent="0.35">
      <c r="A347" s="184" t="s">
        <v>155</v>
      </c>
      <c r="B347" s="184" t="s">
        <v>402</v>
      </c>
      <c r="C347" s="184" t="s">
        <v>173</v>
      </c>
      <c r="D347" s="185" t="s">
        <v>287</v>
      </c>
      <c r="E347" s="185">
        <v>15139</v>
      </c>
      <c r="F347" s="185" t="s">
        <v>149</v>
      </c>
      <c r="G347" s="184">
        <v>101002</v>
      </c>
      <c r="H347" s="184" t="s">
        <v>109</v>
      </c>
      <c r="I347" s="184" t="s">
        <v>294</v>
      </c>
      <c r="J347" s="184" t="s">
        <v>349</v>
      </c>
      <c r="K347" s="184" t="s">
        <v>295</v>
      </c>
      <c r="L347" s="185">
        <v>1</v>
      </c>
      <c r="M347" s="186">
        <v>0</v>
      </c>
      <c r="N347" s="186">
        <v>77000</v>
      </c>
      <c r="O347" s="125">
        <f t="shared" si="30"/>
        <v>-77000</v>
      </c>
      <c r="P347" s="125"/>
      <c r="Q347" s="73">
        <f t="shared" si="32"/>
        <v>0</v>
      </c>
    </row>
    <row r="348" spans="1:17" ht="14.5" x14ac:dyDescent="0.35">
      <c r="A348" s="184" t="s">
        <v>155</v>
      </c>
      <c r="B348" s="184" t="s">
        <v>402</v>
      </c>
      <c r="C348" s="184" t="s">
        <v>173</v>
      </c>
      <c r="D348" s="185" t="s">
        <v>287</v>
      </c>
      <c r="E348" s="185">
        <v>15140</v>
      </c>
      <c r="F348" s="185" t="s">
        <v>149</v>
      </c>
      <c r="G348" s="184">
        <v>101002</v>
      </c>
      <c r="H348" s="184" t="s">
        <v>109</v>
      </c>
      <c r="I348" s="184" t="s">
        <v>294</v>
      </c>
      <c r="J348" s="184" t="s">
        <v>347</v>
      </c>
      <c r="K348" s="184" t="s">
        <v>295</v>
      </c>
      <c r="L348" s="185">
        <v>1</v>
      </c>
      <c r="M348" s="186">
        <v>5622.91</v>
      </c>
      <c r="N348" s="186">
        <v>0</v>
      </c>
      <c r="O348" s="125">
        <f t="shared" si="30"/>
        <v>5622.91</v>
      </c>
      <c r="P348" s="125"/>
      <c r="Q348" s="73">
        <f t="shared" si="32"/>
        <v>641.5740310000001</v>
      </c>
    </row>
    <row r="349" spans="1:17" ht="14.5" x14ac:dyDescent="0.35">
      <c r="A349" s="184" t="s">
        <v>155</v>
      </c>
      <c r="B349" s="184" t="s">
        <v>402</v>
      </c>
      <c r="C349" s="184" t="s">
        <v>173</v>
      </c>
      <c r="D349" s="185" t="s">
        <v>287</v>
      </c>
      <c r="E349" s="185">
        <v>15141</v>
      </c>
      <c r="F349" s="185" t="s">
        <v>149</v>
      </c>
      <c r="G349" s="184">
        <v>101002</v>
      </c>
      <c r="H349" s="184" t="s">
        <v>109</v>
      </c>
      <c r="I349" s="184" t="s">
        <v>294</v>
      </c>
      <c r="J349" s="184" t="s">
        <v>348</v>
      </c>
      <c r="K349" s="184" t="s">
        <v>295</v>
      </c>
      <c r="L349" s="185">
        <v>1</v>
      </c>
      <c r="M349" s="186">
        <v>1784.54</v>
      </c>
      <c r="N349" s="186">
        <v>0</v>
      </c>
      <c r="O349" s="125">
        <f t="shared" si="30"/>
        <v>1784.54</v>
      </c>
      <c r="P349" s="125"/>
      <c r="Q349" s="73">
        <f t="shared" si="32"/>
        <v>203.61601400000001</v>
      </c>
    </row>
    <row r="350" spans="1:17" ht="14.5" x14ac:dyDescent="0.35">
      <c r="A350" s="184" t="s">
        <v>155</v>
      </c>
      <c r="B350" s="184" t="s">
        <v>402</v>
      </c>
      <c r="C350" s="184" t="s">
        <v>173</v>
      </c>
      <c r="D350" s="185" t="s">
        <v>287</v>
      </c>
      <c r="E350" s="185">
        <v>15142</v>
      </c>
      <c r="F350" s="185" t="s">
        <v>149</v>
      </c>
      <c r="G350" s="184">
        <v>101039</v>
      </c>
      <c r="H350" s="184" t="s">
        <v>111</v>
      </c>
      <c r="I350" s="184" t="s">
        <v>294</v>
      </c>
      <c r="J350" s="184" t="s">
        <v>295</v>
      </c>
      <c r="K350" s="184" t="s">
        <v>295</v>
      </c>
      <c r="L350" s="185">
        <v>1</v>
      </c>
      <c r="M350" s="186">
        <v>246078.85</v>
      </c>
      <c r="N350" s="186">
        <v>7000</v>
      </c>
      <c r="O350" s="125">
        <f t="shared" si="30"/>
        <v>239078.85</v>
      </c>
      <c r="P350" s="125"/>
      <c r="Q350" s="73">
        <f t="shared" si="32"/>
        <v>28077.596785000002</v>
      </c>
    </row>
    <row r="351" spans="1:17" ht="14.5" x14ac:dyDescent="0.35">
      <c r="A351" s="184" t="s">
        <v>155</v>
      </c>
      <c r="B351" s="184" t="s">
        <v>402</v>
      </c>
      <c r="C351" s="184" t="s">
        <v>173</v>
      </c>
      <c r="D351" s="185" t="s">
        <v>287</v>
      </c>
      <c r="E351" s="185">
        <v>15143</v>
      </c>
      <c r="F351" s="185" t="s">
        <v>149</v>
      </c>
      <c r="G351" s="184">
        <v>102002</v>
      </c>
      <c r="H351" s="184" t="s">
        <v>112</v>
      </c>
      <c r="I351" s="184" t="s">
        <v>294</v>
      </c>
      <c r="J351" s="184" t="s">
        <v>295</v>
      </c>
      <c r="K351" s="184" t="s">
        <v>295</v>
      </c>
      <c r="L351" s="185">
        <v>1</v>
      </c>
      <c r="M351" s="186">
        <v>14384.3</v>
      </c>
      <c r="N351" s="186">
        <v>0</v>
      </c>
      <c r="O351" s="125">
        <f t="shared" si="30"/>
        <v>14384.3</v>
      </c>
      <c r="P351" s="125"/>
      <c r="Q351" s="73">
        <f t="shared" si="32"/>
        <v>1641.24863</v>
      </c>
    </row>
    <row r="352" spans="1:17" ht="14.5" x14ac:dyDescent="0.35">
      <c r="A352" s="184" t="s">
        <v>155</v>
      </c>
      <c r="B352" s="184" t="s">
        <v>402</v>
      </c>
      <c r="C352" s="184" t="s">
        <v>173</v>
      </c>
      <c r="D352" s="185" t="s">
        <v>287</v>
      </c>
      <c r="E352" s="185">
        <v>15144</v>
      </c>
      <c r="F352" s="185" t="s">
        <v>149</v>
      </c>
      <c r="G352" s="184">
        <v>102002</v>
      </c>
      <c r="H352" s="184" t="s">
        <v>112</v>
      </c>
      <c r="I352" s="184" t="s">
        <v>294</v>
      </c>
      <c r="J352" s="184" t="s">
        <v>398</v>
      </c>
      <c r="K352" s="184" t="s">
        <v>295</v>
      </c>
      <c r="L352" s="185">
        <v>1</v>
      </c>
      <c r="M352" s="186">
        <v>23238.9</v>
      </c>
      <c r="N352" s="186">
        <v>0</v>
      </c>
      <c r="O352" s="125">
        <f t="shared" si="30"/>
        <v>23238.9</v>
      </c>
      <c r="P352" s="125"/>
      <c r="Q352" s="73">
        <f t="shared" si="32"/>
        <v>2651.5584900000003</v>
      </c>
    </row>
    <row r="353" spans="1:17" ht="14.5" x14ac:dyDescent="0.35">
      <c r="A353" s="184" t="s">
        <v>155</v>
      </c>
      <c r="B353" s="184" t="s">
        <v>402</v>
      </c>
      <c r="C353" s="184" t="s">
        <v>173</v>
      </c>
      <c r="D353" s="185" t="s">
        <v>287</v>
      </c>
      <c r="E353" s="185">
        <v>15145</v>
      </c>
      <c r="F353" s="185" t="s">
        <v>149</v>
      </c>
      <c r="G353" s="184">
        <v>102002</v>
      </c>
      <c r="H353" s="184" t="s">
        <v>112</v>
      </c>
      <c r="I353" s="184" t="s">
        <v>294</v>
      </c>
      <c r="J353" s="184" t="s">
        <v>347</v>
      </c>
      <c r="K353" s="184" t="s">
        <v>295</v>
      </c>
      <c r="L353" s="185">
        <v>1</v>
      </c>
      <c r="M353" s="186">
        <v>20270.97</v>
      </c>
      <c r="N353" s="186">
        <v>0</v>
      </c>
      <c r="O353" s="125">
        <f t="shared" si="30"/>
        <v>20270.97</v>
      </c>
      <c r="P353" s="125"/>
      <c r="Q353" s="73">
        <f t="shared" si="32"/>
        <v>2312.9176770000004</v>
      </c>
    </row>
    <row r="354" spans="1:17" ht="14.5" x14ac:dyDescent="0.35">
      <c r="A354" s="184" t="s">
        <v>155</v>
      </c>
      <c r="B354" s="184" t="s">
        <v>402</v>
      </c>
      <c r="C354" s="184" t="s">
        <v>173</v>
      </c>
      <c r="D354" s="185" t="s">
        <v>287</v>
      </c>
      <c r="E354" s="185">
        <v>15146</v>
      </c>
      <c r="F354" s="185" t="s">
        <v>149</v>
      </c>
      <c r="G354" s="184">
        <v>102002</v>
      </c>
      <c r="H354" s="184" t="s">
        <v>112</v>
      </c>
      <c r="I354" s="184" t="s">
        <v>294</v>
      </c>
      <c r="J354" s="184" t="s">
        <v>348</v>
      </c>
      <c r="K354" s="184" t="s">
        <v>295</v>
      </c>
      <c r="L354" s="185">
        <v>1</v>
      </c>
      <c r="M354" s="186">
        <v>979.73</v>
      </c>
      <c r="N354" s="186">
        <v>0</v>
      </c>
      <c r="O354" s="125">
        <f t="shared" si="30"/>
        <v>979.73</v>
      </c>
      <c r="P354" s="125"/>
      <c r="Q354" s="73">
        <f t="shared" si="32"/>
        <v>111.78719300000002</v>
      </c>
    </row>
    <row r="355" spans="1:17" ht="14.5" x14ac:dyDescent="0.35">
      <c r="A355" s="184" t="s">
        <v>155</v>
      </c>
      <c r="B355" s="184" t="s">
        <v>402</v>
      </c>
      <c r="C355" s="184" t="s">
        <v>173</v>
      </c>
      <c r="D355" s="185" t="s">
        <v>287</v>
      </c>
      <c r="E355" s="185">
        <v>15147</v>
      </c>
      <c r="F355" s="185" t="s">
        <v>149</v>
      </c>
      <c r="G355" s="184">
        <v>102003</v>
      </c>
      <c r="H355" s="184" t="s">
        <v>110</v>
      </c>
      <c r="I355" s="184" t="s">
        <v>294</v>
      </c>
      <c r="J355" s="184" t="s">
        <v>295</v>
      </c>
      <c r="K355" s="184" t="s">
        <v>295</v>
      </c>
      <c r="L355" s="185">
        <v>1</v>
      </c>
      <c r="M355" s="186">
        <v>115896.12</v>
      </c>
      <c r="N355" s="186">
        <v>187000</v>
      </c>
      <c r="O355" s="125">
        <f t="shared" si="30"/>
        <v>-71103.88</v>
      </c>
      <c r="P355" s="125"/>
      <c r="Q355" s="73">
        <f t="shared" si="32"/>
        <v>13223.747292000002</v>
      </c>
    </row>
    <row r="356" spans="1:17" ht="14.5" x14ac:dyDescent="0.35">
      <c r="A356" s="184" t="s">
        <v>155</v>
      </c>
      <c r="B356" s="184" t="s">
        <v>402</v>
      </c>
      <c r="C356" s="184" t="s">
        <v>173</v>
      </c>
      <c r="D356" s="185" t="s">
        <v>287</v>
      </c>
      <c r="E356" s="185">
        <v>15148</v>
      </c>
      <c r="F356" s="185" t="s">
        <v>149</v>
      </c>
      <c r="G356" s="184">
        <v>102003</v>
      </c>
      <c r="H356" s="184" t="s">
        <v>110</v>
      </c>
      <c r="I356" s="184" t="s">
        <v>294</v>
      </c>
      <c r="J356" s="184" t="s">
        <v>349</v>
      </c>
      <c r="K356" s="184" t="s">
        <v>295</v>
      </c>
      <c r="L356" s="185">
        <v>1</v>
      </c>
      <c r="M356" s="186">
        <v>74024.100000000006</v>
      </c>
      <c r="N356" s="186">
        <v>0</v>
      </c>
      <c r="O356" s="125">
        <f t="shared" si="30"/>
        <v>74024.100000000006</v>
      </c>
      <c r="P356" s="125"/>
      <c r="Q356" s="73">
        <f t="shared" si="32"/>
        <v>8446.1498100000008</v>
      </c>
    </row>
    <row r="357" spans="1:17" ht="14.5" x14ac:dyDescent="0.35">
      <c r="A357" s="184" t="s">
        <v>155</v>
      </c>
      <c r="B357" s="184" t="s">
        <v>402</v>
      </c>
      <c r="C357" s="184" t="s">
        <v>173</v>
      </c>
      <c r="D357" s="185" t="s">
        <v>287</v>
      </c>
      <c r="E357" s="185">
        <v>15149</v>
      </c>
      <c r="F357" s="185" t="s">
        <v>149</v>
      </c>
      <c r="G357" s="184">
        <v>102003</v>
      </c>
      <c r="H357" s="184" t="s">
        <v>110</v>
      </c>
      <c r="I357" s="184" t="s">
        <v>294</v>
      </c>
      <c r="J357" s="184" t="s">
        <v>347</v>
      </c>
      <c r="K357" s="184" t="s">
        <v>295</v>
      </c>
      <c r="L357" s="185">
        <v>1</v>
      </c>
      <c r="M357" s="186">
        <v>1737.15</v>
      </c>
      <c r="N357" s="186">
        <v>0</v>
      </c>
      <c r="O357" s="125">
        <f t="shared" si="30"/>
        <v>1737.15</v>
      </c>
      <c r="P357" s="125"/>
      <c r="Q357" s="73">
        <f t="shared" si="32"/>
        <v>198.20881500000004</v>
      </c>
    </row>
    <row r="358" spans="1:17" ht="14.5" x14ac:dyDescent="0.35">
      <c r="A358" s="184" t="s">
        <v>155</v>
      </c>
      <c r="B358" s="184" t="s">
        <v>402</v>
      </c>
      <c r="C358" s="184" t="s">
        <v>173</v>
      </c>
      <c r="D358" s="185" t="s">
        <v>287</v>
      </c>
      <c r="E358" s="185">
        <v>15150</v>
      </c>
      <c r="F358" s="185" t="s">
        <v>149</v>
      </c>
      <c r="G358" s="184">
        <v>102005</v>
      </c>
      <c r="H358" s="184" t="s">
        <v>116</v>
      </c>
      <c r="I358" s="184" t="s">
        <v>294</v>
      </c>
      <c r="J358" s="184" t="s">
        <v>295</v>
      </c>
      <c r="K358" s="184" t="s">
        <v>295</v>
      </c>
      <c r="L358" s="185">
        <v>1</v>
      </c>
      <c r="M358" s="186">
        <v>85284.15</v>
      </c>
      <c r="N358" s="186">
        <v>12000</v>
      </c>
      <c r="O358" s="125">
        <f t="shared" si="30"/>
        <v>73284.149999999994</v>
      </c>
      <c r="P358" s="125"/>
      <c r="Q358" s="73">
        <f t="shared" si="32"/>
        <v>9730.9215149999982</v>
      </c>
    </row>
    <row r="359" spans="1:17" ht="14.5" x14ac:dyDescent="0.35">
      <c r="A359" s="184" t="s">
        <v>155</v>
      </c>
      <c r="B359" s="184" t="s">
        <v>402</v>
      </c>
      <c r="C359" s="184" t="s">
        <v>173</v>
      </c>
      <c r="D359" s="185" t="s">
        <v>287</v>
      </c>
      <c r="E359" s="185">
        <v>15151</v>
      </c>
      <c r="F359" s="185" t="s">
        <v>149</v>
      </c>
      <c r="G359" s="184">
        <v>102005</v>
      </c>
      <c r="H359" s="184" t="s">
        <v>116</v>
      </c>
      <c r="I359" s="184" t="s">
        <v>294</v>
      </c>
      <c r="J359" s="184" t="s">
        <v>349</v>
      </c>
      <c r="K359" s="184" t="s">
        <v>295</v>
      </c>
      <c r="L359" s="185">
        <v>1</v>
      </c>
      <c r="M359" s="186">
        <v>2695.73</v>
      </c>
      <c r="N359" s="186">
        <v>0</v>
      </c>
      <c r="O359" s="125">
        <f t="shared" si="30"/>
        <v>2695.73</v>
      </c>
      <c r="P359" s="125"/>
      <c r="Q359" s="73">
        <f t="shared" si="32"/>
        <v>307.58279300000004</v>
      </c>
    </row>
    <row r="360" spans="1:17" ht="14.5" x14ac:dyDescent="0.35">
      <c r="A360" s="184" t="s">
        <v>155</v>
      </c>
      <c r="B360" s="184" t="s">
        <v>402</v>
      </c>
      <c r="C360" s="184" t="s">
        <v>173</v>
      </c>
      <c r="D360" s="185" t="s">
        <v>287</v>
      </c>
      <c r="E360" s="185">
        <v>15152</v>
      </c>
      <c r="F360" s="185" t="s">
        <v>149</v>
      </c>
      <c r="G360" s="184">
        <v>102005</v>
      </c>
      <c r="H360" s="184" t="s">
        <v>116</v>
      </c>
      <c r="I360" s="184" t="s">
        <v>294</v>
      </c>
      <c r="J360" s="184" t="s">
        <v>347</v>
      </c>
      <c r="K360" s="184" t="s">
        <v>295</v>
      </c>
      <c r="L360" s="185">
        <v>1</v>
      </c>
      <c r="M360" s="186">
        <v>1399.6</v>
      </c>
      <c r="N360" s="186">
        <v>0</v>
      </c>
      <c r="O360" s="125">
        <f t="shared" si="30"/>
        <v>1399.6</v>
      </c>
      <c r="P360" s="125"/>
      <c r="Q360" s="73">
        <f t="shared" si="32"/>
        <v>159.69436000000002</v>
      </c>
    </row>
    <row r="361" spans="1:17" ht="14.5" x14ac:dyDescent="0.35">
      <c r="A361" s="184" t="s">
        <v>155</v>
      </c>
      <c r="B361" s="184" t="s">
        <v>402</v>
      </c>
      <c r="C361" s="184" t="s">
        <v>173</v>
      </c>
      <c r="D361" s="185" t="s">
        <v>287</v>
      </c>
      <c r="E361" s="185">
        <v>15153</v>
      </c>
      <c r="F361" s="185" t="s">
        <v>149</v>
      </c>
      <c r="G361" s="184">
        <v>102005</v>
      </c>
      <c r="H361" s="184" t="s">
        <v>116</v>
      </c>
      <c r="I361" s="184" t="s">
        <v>294</v>
      </c>
      <c r="J361" s="184" t="s">
        <v>348</v>
      </c>
      <c r="K361" s="184" t="s">
        <v>295</v>
      </c>
      <c r="L361" s="185">
        <v>1</v>
      </c>
      <c r="M361" s="186">
        <v>2099.42</v>
      </c>
      <c r="N361" s="186">
        <v>0</v>
      </c>
      <c r="O361" s="125">
        <f t="shared" si="30"/>
        <v>2099.42</v>
      </c>
      <c r="P361" s="125"/>
      <c r="Q361" s="73">
        <f t="shared" si="32"/>
        <v>239.54382200000001</v>
      </c>
    </row>
    <row r="362" spans="1:17" ht="14.5" x14ac:dyDescent="0.35">
      <c r="A362" s="184" t="s">
        <v>155</v>
      </c>
      <c r="B362" s="184" t="s">
        <v>402</v>
      </c>
      <c r="C362" s="184" t="s">
        <v>173</v>
      </c>
      <c r="D362" s="185" t="s">
        <v>287</v>
      </c>
      <c r="E362" s="185">
        <v>15154</v>
      </c>
      <c r="F362" s="185" t="s">
        <v>149</v>
      </c>
      <c r="G362" s="184">
        <v>102062</v>
      </c>
      <c r="H362" s="184" t="s">
        <v>117</v>
      </c>
      <c r="I362" s="184" t="s">
        <v>294</v>
      </c>
      <c r="J362" s="184" t="s">
        <v>295</v>
      </c>
      <c r="K362" s="184" t="s">
        <v>295</v>
      </c>
      <c r="L362" s="185">
        <v>1</v>
      </c>
      <c r="M362" s="186">
        <v>3467.9</v>
      </c>
      <c r="N362" s="186">
        <v>0</v>
      </c>
      <c r="O362" s="125">
        <f t="shared" si="30"/>
        <v>3467.9</v>
      </c>
      <c r="P362" s="125"/>
      <c r="Q362" s="73">
        <f t="shared" si="32"/>
        <v>395.68739000000005</v>
      </c>
    </row>
    <row r="363" spans="1:17" ht="14.5" x14ac:dyDescent="0.35">
      <c r="A363" s="184" t="s">
        <v>155</v>
      </c>
      <c r="B363" s="184" t="s">
        <v>402</v>
      </c>
      <c r="C363" s="184" t="s">
        <v>173</v>
      </c>
      <c r="D363" s="185" t="s">
        <v>287</v>
      </c>
      <c r="E363" s="185">
        <v>15155</v>
      </c>
      <c r="F363" s="185" t="s">
        <v>149</v>
      </c>
      <c r="G363" s="184">
        <v>103001</v>
      </c>
      <c r="H363" s="184" t="s">
        <v>113</v>
      </c>
      <c r="I363" s="184" t="s">
        <v>294</v>
      </c>
      <c r="J363" s="184" t="s">
        <v>295</v>
      </c>
      <c r="K363" s="184" t="s">
        <v>295</v>
      </c>
      <c r="L363" s="185">
        <v>1</v>
      </c>
      <c r="M363" s="186">
        <v>6998.04</v>
      </c>
      <c r="N363" s="186">
        <v>0</v>
      </c>
      <c r="O363" s="125">
        <f t="shared" si="30"/>
        <v>6998.04</v>
      </c>
      <c r="P363" s="125"/>
      <c r="Q363" s="73">
        <f t="shared" si="32"/>
        <v>798.4763640000001</v>
      </c>
    </row>
    <row r="364" spans="1:17" ht="14.5" x14ac:dyDescent="0.35">
      <c r="A364" s="184" t="s">
        <v>155</v>
      </c>
      <c r="B364" s="184" t="s">
        <v>402</v>
      </c>
      <c r="C364" s="184" t="s">
        <v>173</v>
      </c>
      <c r="D364" s="185" t="s">
        <v>287</v>
      </c>
      <c r="E364" s="185">
        <v>15156</v>
      </c>
      <c r="F364" s="185" t="s">
        <v>149</v>
      </c>
      <c r="G364" s="184">
        <v>103069</v>
      </c>
      <c r="H364" s="184" t="s">
        <v>225</v>
      </c>
      <c r="I364" s="184" t="s">
        <v>294</v>
      </c>
      <c r="J364" s="184" t="s">
        <v>295</v>
      </c>
      <c r="K364" s="184" t="s">
        <v>295</v>
      </c>
      <c r="L364" s="185">
        <v>1</v>
      </c>
      <c r="M364" s="186">
        <v>22874.05</v>
      </c>
      <c r="N364" s="186">
        <v>0</v>
      </c>
      <c r="O364" s="125">
        <f t="shared" si="30"/>
        <v>22874.05</v>
      </c>
      <c r="P364" s="125"/>
      <c r="Q364" s="73">
        <f t="shared" si="32"/>
        <v>2609.9291050000002</v>
      </c>
    </row>
    <row r="365" spans="1:17" ht="14.5" x14ac:dyDescent="0.35">
      <c r="A365" s="184" t="s">
        <v>155</v>
      </c>
      <c r="B365" s="184" t="s">
        <v>402</v>
      </c>
      <c r="C365" s="184" t="s">
        <v>173</v>
      </c>
      <c r="D365" s="185" t="s">
        <v>287</v>
      </c>
      <c r="E365" s="185">
        <v>15157</v>
      </c>
      <c r="F365" s="185" t="s">
        <v>149</v>
      </c>
      <c r="G365" s="184">
        <v>104000</v>
      </c>
      <c r="H365" s="184" t="s">
        <v>114</v>
      </c>
      <c r="I365" s="184" t="s">
        <v>294</v>
      </c>
      <c r="J365" s="184" t="s">
        <v>295</v>
      </c>
      <c r="K365" s="184" t="s">
        <v>295</v>
      </c>
      <c r="L365" s="185">
        <v>1</v>
      </c>
      <c r="M365" s="186">
        <v>52298.96</v>
      </c>
      <c r="N365" s="186">
        <v>68000</v>
      </c>
      <c r="O365" s="125">
        <f t="shared" si="30"/>
        <v>-15701.04</v>
      </c>
      <c r="P365" s="125"/>
      <c r="Q365" s="73">
        <f t="shared" si="32"/>
        <v>5967.3113360000007</v>
      </c>
    </row>
    <row r="366" spans="1:17" ht="14.5" x14ac:dyDescent="0.35">
      <c r="A366" s="184" t="s">
        <v>155</v>
      </c>
      <c r="B366" s="184" t="s">
        <v>402</v>
      </c>
      <c r="C366" s="184" t="s">
        <v>173</v>
      </c>
      <c r="D366" s="185" t="s">
        <v>287</v>
      </c>
      <c r="E366" s="185">
        <v>15158</v>
      </c>
      <c r="F366" s="185" t="s">
        <v>149</v>
      </c>
      <c r="G366" s="184">
        <v>104000</v>
      </c>
      <c r="H366" s="184" t="s">
        <v>114</v>
      </c>
      <c r="I366" s="184" t="s">
        <v>294</v>
      </c>
      <c r="J366" s="184" t="s">
        <v>349</v>
      </c>
      <c r="K366" s="184" t="s">
        <v>295</v>
      </c>
      <c r="L366" s="185">
        <v>1</v>
      </c>
      <c r="M366" s="186">
        <v>30585.31</v>
      </c>
      <c r="N366" s="186">
        <v>31000</v>
      </c>
      <c r="O366" s="125">
        <f t="shared" si="30"/>
        <v>-414.68999999999869</v>
      </c>
      <c r="P366" s="125"/>
      <c r="Q366" s="73">
        <f t="shared" si="32"/>
        <v>3489.7838710000005</v>
      </c>
    </row>
    <row r="367" spans="1:17" ht="14.5" x14ac:dyDescent="0.35">
      <c r="A367" s="184" t="s">
        <v>155</v>
      </c>
      <c r="B367" s="184" t="s">
        <v>402</v>
      </c>
      <c r="C367" s="184" t="s">
        <v>173</v>
      </c>
      <c r="D367" s="185" t="s">
        <v>287</v>
      </c>
      <c r="E367" s="185">
        <v>15159</v>
      </c>
      <c r="F367" s="185" t="s">
        <v>149</v>
      </c>
      <c r="G367" s="184">
        <v>104000</v>
      </c>
      <c r="H367" s="184" t="s">
        <v>114</v>
      </c>
      <c r="I367" s="184" t="s">
        <v>294</v>
      </c>
      <c r="J367" s="184" t="s">
        <v>347</v>
      </c>
      <c r="K367" s="184" t="s">
        <v>295</v>
      </c>
      <c r="L367" s="185">
        <v>1</v>
      </c>
      <c r="M367" s="186">
        <v>2531.42</v>
      </c>
      <c r="N367" s="186">
        <v>0</v>
      </c>
      <c r="O367" s="125">
        <f t="shared" si="30"/>
        <v>2531.42</v>
      </c>
      <c r="P367" s="125"/>
      <c r="Q367" s="73">
        <f t="shared" si="32"/>
        <v>288.83502200000004</v>
      </c>
    </row>
    <row r="368" spans="1:17" ht="14.5" x14ac:dyDescent="0.35">
      <c r="A368" s="184" t="s">
        <v>155</v>
      </c>
      <c r="B368" s="184" t="s">
        <v>402</v>
      </c>
      <c r="C368" s="184" t="s">
        <v>173</v>
      </c>
      <c r="D368" s="185" t="s">
        <v>287</v>
      </c>
      <c r="E368" s="185">
        <v>15160</v>
      </c>
      <c r="F368" s="185" t="s">
        <v>149</v>
      </c>
      <c r="G368" s="184">
        <v>104000</v>
      </c>
      <c r="H368" s="184" t="s">
        <v>114</v>
      </c>
      <c r="I368" s="184" t="s">
        <v>294</v>
      </c>
      <c r="J368" s="184" t="s">
        <v>348</v>
      </c>
      <c r="K368" s="184" t="s">
        <v>295</v>
      </c>
      <c r="L368" s="185">
        <v>1</v>
      </c>
      <c r="M368" s="186">
        <v>31587.91</v>
      </c>
      <c r="N368" s="186">
        <v>0</v>
      </c>
      <c r="O368" s="125">
        <f t="shared" si="30"/>
        <v>31587.91</v>
      </c>
      <c r="P368" s="125"/>
      <c r="Q368" s="73">
        <f t="shared" si="32"/>
        <v>3604.1805310000004</v>
      </c>
    </row>
    <row r="369" spans="1:17" ht="14.5" x14ac:dyDescent="0.35">
      <c r="A369" s="184" t="s">
        <v>155</v>
      </c>
      <c r="B369" s="184" t="s">
        <v>402</v>
      </c>
      <c r="C369" s="184" t="s">
        <v>173</v>
      </c>
      <c r="D369" s="185" t="s">
        <v>287</v>
      </c>
      <c r="E369" s="185">
        <v>15161</v>
      </c>
      <c r="F369" s="185" t="s">
        <v>149</v>
      </c>
      <c r="G369" s="184">
        <v>105003</v>
      </c>
      <c r="H369" s="184" t="s">
        <v>317</v>
      </c>
      <c r="I369" s="184" t="s">
        <v>294</v>
      </c>
      <c r="J369" s="184" t="s">
        <v>295</v>
      </c>
      <c r="K369" s="184" t="s">
        <v>295</v>
      </c>
      <c r="L369" s="185">
        <v>1</v>
      </c>
      <c r="M369" s="186">
        <v>443799.75</v>
      </c>
      <c r="N369" s="186">
        <v>0</v>
      </c>
      <c r="O369" s="125">
        <f t="shared" si="30"/>
        <v>443799.75</v>
      </c>
      <c r="P369" s="125"/>
      <c r="Q369" s="73">
        <f t="shared" si="32"/>
        <v>50637.551475000007</v>
      </c>
    </row>
    <row r="370" spans="1:17" ht="14.5" x14ac:dyDescent="0.35">
      <c r="A370" s="184" t="s">
        <v>155</v>
      </c>
      <c r="B370" s="184" t="s">
        <v>402</v>
      </c>
      <c r="C370" s="184" t="s">
        <v>173</v>
      </c>
      <c r="D370" s="185" t="s">
        <v>287</v>
      </c>
      <c r="E370" s="185">
        <v>15162</v>
      </c>
      <c r="F370" s="185" t="s">
        <v>149</v>
      </c>
      <c r="G370" s="184">
        <v>105009</v>
      </c>
      <c r="H370" s="184" t="s">
        <v>302</v>
      </c>
      <c r="I370" s="184" t="s">
        <v>294</v>
      </c>
      <c r="J370" s="184" t="s">
        <v>386</v>
      </c>
      <c r="K370" s="184" t="s">
        <v>295</v>
      </c>
      <c r="L370" s="185">
        <v>1</v>
      </c>
      <c r="M370" s="186">
        <v>35933</v>
      </c>
      <c r="N370" s="186">
        <v>0</v>
      </c>
      <c r="O370" s="125">
        <f t="shared" si="30"/>
        <v>35933</v>
      </c>
      <c r="P370" s="125"/>
      <c r="Q370" s="73">
        <f t="shared" si="32"/>
        <v>4099.9553000000005</v>
      </c>
    </row>
    <row r="371" spans="1:17" ht="14.5" x14ac:dyDescent="0.35">
      <c r="A371" s="184" t="s">
        <v>155</v>
      </c>
      <c r="B371" s="184" t="s">
        <v>402</v>
      </c>
      <c r="C371" s="184" t="s">
        <v>173</v>
      </c>
      <c r="D371" s="185" t="s">
        <v>287</v>
      </c>
      <c r="E371" s="185">
        <v>15163</v>
      </c>
      <c r="F371" s="185" t="s">
        <v>149</v>
      </c>
      <c r="G371" s="184">
        <v>105010</v>
      </c>
      <c r="H371" s="184" t="s">
        <v>124</v>
      </c>
      <c r="I371" s="184" t="s">
        <v>294</v>
      </c>
      <c r="J371" s="184" t="s">
        <v>295</v>
      </c>
      <c r="K371" s="184" t="s">
        <v>295</v>
      </c>
      <c r="L371" s="185">
        <v>1</v>
      </c>
      <c r="M371" s="186">
        <v>274.49</v>
      </c>
      <c r="N371" s="186">
        <v>0</v>
      </c>
      <c r="O371" s="125">
        <f t="shared" si="30"/>
        <v>274.49</v>
      </c>
      <c r="P371" s="125"/>
      <c r="Q371" s="73">
        <f t="shared" si="32"/>
        <v>31.319309000000001</v>
      </c>
    </row>
    <row r="372" spans="1:17" ht="14.5" x14ac:dyDescent="0.35">
      <c r="A372" s="184" t="s">
        <v>155</v>
      </c>
      <c r="B372" s="184" t="s">
        <v>402</v>
      </c>
      <c r="C372" s="184" t="s">
        <v>173</v>
      </c>
      <c r="D372" s="185" t="s">
        <v>287</v>
      </c>
      <c r="E372" s="185">
        <v>15164</v>
      </c>
      <c r="F372" s="185" t="s">
        <v>149</v>
      </c>
      <c r="G372" s="184">
        <v>105019</v>
      </c>
      <c r="H372" s="184" t="s">
        <v>115</v>
      </c>
      <c r="I372" s="184" t="s">
        <v>294</v>
      </c>
      <c r="J372" s="184" t="s">
        <v>295</v>
      </c>
      <c r="K372" s="184" t="s">
        <v>295</v>
      </c>
      <c r="L372" s="185">
        <v>1</v>
      </c>
      <c r="M372" s="186">
        <v>943.31</v>
      </c>
      <c r="N372" s="186">
        <v>0</v>
      </c>
      <c r="O372" s="125">
        <f t="shared" si="30"/>
        <v>943.31</v>
      </c>
      <c r="P372" s="125"/>
      <c r="Q372" s="73">
        <f t="shared" si="32"/>
        <v>107.63167100000001</v>
      </c>
    </row>
    <row r="373" spans="1:17" ht="14.5" x14ac:dyDescent="0.35">
      <c r="A373" s="184" t="s">
        <v>155</v>
      </c>
      <c r="B373" s="184" t="s">
        <v>402</v>
      </c>
      <c r="C373" s="184" t="s">
        <v>173</v>
      </c>
      <c r="D373" s="185" t="s">
        <v>287</v>
      </c>
      <c r="E373" s="185">
        <v>15165</v>
      </c>
      <c r="F373" s="185" t="s">
        <v>149</v>
      </c>
      <c r="G373" s="184">
        <v>105098</v>
      </c>
      <c r="H373" s="184" t="s">
        <v>314</v>
      </c>
      <c r="I373" s="184" t="s">
        <v>294</v>
      </c>
      <c r="J373" s="184" t="s">
        <v>391</v>
      </c>
      <c r="K373" s="184" t="s">
        <v>295</v>
      </c>
      <c r="L373" s="185">
        <v>1</v>
      </c>
      <c r="M373" s="186">
        <v>-4392</v>
      </c>
      <c r="N373" s="186">
        <v>0</v>
      </c>
      <c r="O373" s="125">
        <f t="shared" si="30"/>
        <v>-4392</v>
      </c>
      <c r="P373" s="125"/>
      <c r="Q373" s="73">
        <f t="shared" si="32"/>
        <v>-501.12720000000007</v>
      </c>
    </row>
    <row r="374" spans="1:17" ht="14.5" x14ac:dyDescent="0.35">
      <c r="A374" s="184" t="s">
        <v>155</v>
      </c>
      <c r="B374" s="184" t="s">
        <v>402</v>
      </c>
      <c r="C374" s="184" t="s">
        <v>173</v>
      </c>
      <c r="D374" s="185" t="s">
        <v>287</v>
      </c>
      <c r="E374" s="185">
        <v>15166</v>
      </c>
      <c r="F374" s="185" t="s">
        <v>149</v>
      </c>
      <c r="G374" s="184">
        <v>105099</v>
      </c>
      <c r="H374" s="184" t="s">
        <v>107</v>
      </c>
      <c r="I374" s="184" t="s">
        <v>294</v>
      </c>
      <c r="J374" s="184" t="s">
        <v>392</v>
      </c>
      <c r="K374" s="184" t="s">
        <v>295</v>
      </c>
      <c r="L374" s="185">
        <v>1</v>
      </c>
      <c r="M374" s="186">
        <v>4392</v>
      </c>
      <c r="N374" s="186">
        <v>0</v>
      </c>
      <c r="O374" s="125">
        <f t="shared" si="30"/>
        <v>4392</v>
      </c>
      <c r="P374" s="125"/>
      <c r="Q374" s="73">
        <f t="shared" si="32"/>
        <v>501.12720000000007</v>
      </c>
    </row>
    <row r="375" spans="1:17" ht="14.5" x14ac:dyDescent="0.35">
      <c r="A375" s="184" t="s">
        <v>155</v>
      </c>
      <c r="B375" s="184" t="s">
        <v>402</v>
      </c>
      <c r="C375" s="184" t="s">
        <v>173</v>
      </c>
      <c r="D375" s="185" t="s">
        <v>287</v>
      </c>
      <c r="E375" s="185">
        <v>15167</v>
      </c>
      <c r="F375" s="185" t="s">
        <v>149</v>
      </c>
      <c r="G375" s="189">
        <v>109001</v>
      </c>
      <c r="H375" s="184" t="s">
        <v>105</v>
      </c>
      <c r="I375" s="184" t="s">
        <v>294</v>
      </c>
      <c r="J375" s="184" t="s">
        <v>295</v>
      </c>
      <c r="K375" s="184" t="s">
        <v>295</v>
      </c>
      <c r="L375" s="185">
        <v>1</v>
      </c>
      <c r="M375" s="186">
        <v>898055.78</v>
      </c>
      <c r="N375" s="186">
        <v>878000</v>
      </c>
      <c r="O375" s="125">
        <f t="shared" si="30"/>
        <v>20055.780000000028</v>
      </c>
      <c r="P375" s="164">
        <f t="shared" ref="P375:P379" si="33">M375*-1</f>
        <v>-898055.78</v>
      </c>
      <c r="Q375" s="164"/>
    </row>
    <row r="376" spans="1:17" ht="14.5" x14ac:dyDescent="0.35">
      <c r="A376" s="184" t="s">
        <v>155</v>
      </c>
      <c r="B376" s="184" t="s">
        <v>402</v>
      </c>
      <c r="C376" s="184" t="s">
        <v>173</v>
      </c>
      <c r="D376" s="185" t="s">
        <v>287</v>
      </c>
      <c r="E376" s="185">
        <v>15168</v>
      </c>
      <c r="F376" s="185" t="s">
        <v>149</v>
      </c>
      <c r="G376" s="189">
        <v>109001</v>
      </c>
      <c r="H376" s="184" t="s">
        <v>105</v>
      </c>
      <c r="I376" s="184" t="s">
        <v>294</v>
      </c>
      <c r="J376" s="184" t="s">
        <v>349</v>
      </c>
      <c r="K376" s="184" t="s">
        <v>295</v>
      </c>
      <c r="L376" s="185">
        <v>1</v>
      </c>
      <c r="M376" s="186">
        <v>8364.92</v>
      </c>
      <c r="N376" s="186">
        <v>8000</v>
      </c>
      <c r="O376" s="125">
        <f t="shared" si="30"/>
        <v>364.92000000000007</v>
      </c>
      <c r="P376" s="164">
        <f t="shared" si="33"/>
        <v>-8364.92</v>
      </c>
    </row>
    <row r="377" spans="1:17" ht="14.5" x14ac:dyDescent="0.35">
      <c r="A377" s="184" t="s">
        <v>155</v>
      </c>
      <c r="B377" s="184" t="s">
        <v>402</v>
      </c>
      <c r="C377" s="184" t="s">
        <v>173</v>
      </c>
      <c r="D377" s="185" t="s">
        <v>287</v>
      </c>
      <c r="E377" s="185">
        <v>15169</v>
      </c>
      <c r="F377" s="185" t="s">
        <v>149</v>
      </c>
      <c r="G377" s="189">
        <v>109001</v>
      </c>
      <c r="H377" s="184" t="s">
        <v>105</v>
      </c>
      <c r="I377" s="184" t="s">
        <v>294</v>
      </c>
      <c r="J377" s="184" t="s">
        <v>398</v>
      </c>
      <c r="K377" s="184" t="s">
        <v>295</v>
      </c>
      <c r="L377" s="185">
        <v>1</v>
      </c>
      <c r="M377" s="186">
        <v>2350</v>
      </c>
      <c r="N377" s="186">
        <v>0</v>
      </c>
      <c r="O377" s="125">
        <f t="shared" si="30"/>
        <v>2350</v>
      </c>
      <c r="P377" s="164">
        <f t="shared" si="33"/>
        <v>-2350</v>
      </c>
    </row>
    <row r="378" spans="1:17" ht="14.5" x14ac:dyDescent="0.35">
      <c r="A378" s="184" t="s">
        <v>155</v>
      </c>
      <c r="B378" s="184" t="s">
        <v>402</v>
      </c>
      <c r="C378" s="184" t="s">
        <v>173</v>
      </c>
      <c r="D378" s="185" t="s">
        <v>287</v>
      </c>
      <c r="E378" s="185">
        <v>15170</v>
      </c>
      <c r="F378" s="185" t="s">
        <v>149</v>
      </c>
      <c r="G378" s="189">
        <v>109001</v>
      </c>
      <c r="H378" s="184" t="s">
        <v>105</v>
      </c>
      <c r="I378" s="184" t="s">
        <v>294</v>
      </c>
      <c r="J378" s="184" t="s">
        <v>347</v>
      </c>
      <c r="K378" s="184" t="s">
        <v>295</v>
      </c>
      <c r="L378" s="185">
        <v>1</v>
      </c>
      <c r="M378" s="186">
        <v>2728.56</v>
      </c>
      <c r="N378" s="186">
        <v>0</v>
      </c>
      <c r="O378" s="125">
        <f t="shared" si="30"/>
        <v>2728.56</v>
      </c>
      <c r="P378" s="164">
        <f t="shared" si="33"/>
        <v>-2728.56</v>
      </c>
    </row>
    <row r="379" spans="1:17" ht="14.5" x14ac:dyDescent="0.35">
      <c r="A379" s="184" t="s">
        <v>155</v>
      </c>
      <c r="B379" s="184" t="s">
        <v>402</v>
      </c>
      <c r="C379" s="184" t="s">
        <v>173</v>
      </c>
      <c r="D379" s="185" t="s">
        <v>287</v>
      </c>
      <c r="E379" s="185">
        <v>15171</v>
      </c>
      <c r="F379" s="185" t="s">
        <v>149</v>
      </c>
      <c r="G379" s="189">
        <v>109001</v>
      </c>
      <c r="H379" s="184" t="s">
        <v>105</v>
      </c>
      <c r="I379" s="184" t="s">
        <v>294</v>
      </c>
      <c r="J379" s="184" t="s">
        <v>348</v>
      </c>
      <c r="K379" s="184" t="s">
        <v>295</v>
      </c>
      <c r="L379" s="185">
        <v>1</v>
      </c>
      <c r="M379" s="186">
        <v>489.69</v>
      </c>
      <c r="N379" s="186">
        <v>0</v>
      </c>
      <c r="O379" s="125">
        <f t="shared" si="30"/>
        <v>489.69</v>
      </c>
      <c r="P379" s="164">
        <f t="shared" si="33"/>
        <v>-489.69</v>
      </c>
    </row>
    <row r="380" spans="1:17" ht="14.5" x14ac:dyDescent="0.35">
      <c r="A380" s="184" t="s">
        <v>155</v>
      </c>
      <c r="B380" s="184" t="s">
        <v>402</v>
      </c>
      <c r="C380" s="184" t="s">
        <v>173</v>
      </c>
      <c r="D380" s="185" t="s">
        <v>287</v>
      </c>
      <c r="E380" s="185">
        <v>15172</v>
      </c>
      <c r="F380" s="185" t="s">
        <v>149</v>
      </c>
      <c r="G380" s="189">
        <v>109901</v>
      </c>
      <c r="H380" s="184" t="s">
        <v>106</v>
      </c>
      <c r="I380" s="184" t="s">
        <v>294</v>
      </c>
      <c r="J380" s="184" t="s">
        <v>295</v>
      </c>
      <c r="K380" s="184" t="s">
        <v>295</v>
      </c>
      <c r="L380" s="185">
        <v>1</v>
      </c>
      <c r="M380" s="186">
        <v>1399926.15</v>
      </c>
      <c r="N380" s="186">
        <v>1361000</v>
      </c>
      <c r="O380" s="125">
        <f t="shared" si="30"/>
        <v>38926.149999999907</v>
      </c>
      <c r="P380" s="125"/>
    </row>
    <row r="381" spans="1:17" ht="14.5" x14ac:dyDescent="0.35">
      <c r="A381" s="184" t="s">
        <v>155</v>
      </c>
      <c r="B381" s="184" t="s">
        <v>402</v>
      </c>
      <c r="C381" s="184" t="s">
        <v>173</v>
      </c>
      <c r="D381" s="185" t="s">
        <v>287</v>
      </c>
      <c r="E381" s="185">
        <v>15173</v>
      </c>
      <c r="F381" s="185" t="s">
        <v>149</v>
      </c>
      <c r="G381" s="189">
        <v>109901</v>
      </c>
      <c r="H381" s="184" t="s">
        <v>106</v>
      </c>
      <c r="I381" s="184" t="s">
        <v>294</v>
      </c>
      <c r="J381" s="184" t="s">
        <v>349</v>
      </c>
      <c r="K381" s="184" t="s">
        <v>295</v>
      </c>
      <c r="L381" s="185">
        <v>1</v>
      </c>
      <c r="M381" s="186">
        <v>16309.5</v>
      </c>
      <c r="N381" s="186">
        <v>16000</v>
      </c>
      <c r="O381" s="125">
        <f t="shared" si="30"/>
        <v>309.5</v>
      </c>
      <c r="P381" s="125"/>
    </row>
    <row r="382" spans="1:17" ht="14.5" x14ac:dyDescent="0.35">
      <c r="A382" s="184" t="s">
        <v>155</v>
      </c>
      <c r="B382" s="184" t="s">
        <v>402</v>
      </c>
      <c r="C382" s="184" t="s">
        <v>173</v>
      </c>
      <c r="D382" s="185" t="s">
        <v>287</v>
      </c>
      <c r="E382" s="185">
        <v>15174</v>
      </c>
      <c r="F382" s="185" t="s">
        <v>149</v>
      </c>
      <c r="G382" s="189">
        <v>109901</v>
      </c>
      <c r="H382" s="184" t="s">
        <v>106</v>
      </c>
      <c r="I382" s="184" t="s">
        <v>294</v>
      </c>
      <c r="J382" s="184" t="s">
        <v>392</v>
      </c>
      <c r="K382" s="184" t="s">
        <v>295</v>
      </c>
      <c r="L382" s="185">
        <v>1</v>
      </c>
      <c r="M382" s="186">
        <v>619.32000000000005</v>
      </c>
      <c r="N382" s="186">
        <v>0</v>
      </c>
      <c r="O382" s="125">
        <f t="shared" si="30"/>
        <v>619.32000000000005</v>
      </c>
      <c r="P382" s="164"/>
    </row>
    <row r="383" spans="1:17" ht="14.5" x14ac:dyDescent="0.35">
      <c r="A383" s="184" t="s">
        <v>155</v>
      </c>
      <c r="B383" s="184" t="s">
        <v>402</v>
      </c>
      <c r="C383" s="184" t="s">
        <v>173</v>
      </c>
      <c r="D383" s="185" t="s">
        <v>287</v>
      </c>
      <c r="E383" s="185">
        <v>15175</v>
      </c>
      <c r="F383" s="185" t="s">
        <v>149</v>
      </c>
      <c r="G383" s="189">
        <v>109901</v>
      </c>
      <c r="H383" s="184" t="s">
        <v>106</v>
      </c>
      <c r="I383" s="184" t="s">
        <v>294</v>
      </c>
      <c r="J383" s="184" t="s">
        <v>398</v>
      </c>
      <c r="K383" s="184" t="s">
        <v>295</v>
      </c>
      <c r="L383" s="185">
        <v>1</v>
      </c>
      <c r="M383" s="186">
        <v>3608</v>
      </c>
      <c r="N383" s="186">
        <v>0</v>
      </c>
      <c r="O383" s="125">
        <f t="shared" si="30"/>
        <v>3608</v>
      </c>
      <c r="P383" s="164"/>
    </row>
    <row r="384" spans="1:17" ht="14.5" x14ac:dyDescent="0.35">
      <c r="A384" s="184" t="s">
        <v>155</v>
      </c>
      <c r="B384" s="184" t="s">
        <v>402</v>
      </c>
      <c r="C384" s="184" t="s">
        <v>173</v>
      </c>
      <c r="D384" s="185" t="s">
        <v>287</v>
      </c>
      <c r="E384" s="185">
        <v>15176</v>
      </c>
      <c r="F384" s="185" t="s">
        <v>149</v>
      </c>
      <c r="G384" s="189">
        <v>109901</v>
      </c>
      <c r="H384" s="184" t="s">
        <v>106</v>
      </c>
      <c r="I384" s="184" t="s">
        <v>294</v>
      </c>
      <c r="J384" s="184" t="s">
        <v>386</v>
      </c>
      <c r="K384" s="184" t="s">
        <v>295</v>
      </c>
      <c r="L384" s="185">
        <v>1</v>
      </c>
      <c r="M384" s="186">
        <v>5066.55</v>
      </c>
      <c r="N384" s="186">
        <v>0</v>
      </c>
      <c r="O384" s="125">
        <f t="shared" si="30"/>
        <v>5066.55</v>
      </c>
      <c r="P384" s="164"/>
    </row>
    <row r="385" spans="1:17" ht="14.5" x14ac:dyDescent="0.35">
      <c r="A385" s="184" t="s">
        <v>155</v>
      </c>
      <c r="B385" s="184" t="s">
        <v>402</v>
      </c>
      <c r="C385" s="184" t="s">
        <v>173</v>
      </c>
      <c r="D385" s="185" t="s">
        <v>287</v>
      </c>
      <c r="E385" s="185">
        <v>15177</v>
      </c>
      <c r="F385" s="185" t="s">
        <v>149</v>
      </c>
      <c r="G385" s="189">
        <v>109901</v>
      </c>
      <c r="H385" s="184" t="s">
        <v>106</v>
      </c>
      <c r="I385" s="184" t="s">
        <v>294</v>
      </c>
      <c r="J385" s="184" t="s">
        <v>347</v>
      </c>
      <c r="K385" s="184" t="s">
        <v>295</v>
      </c>
      <c r="L385" s="185">
        <v>1</v>
      </c>
      <c r="M385" s="186">
        <v>4834.97</v>
      </c>
      <c r="N385" s="186">
        <v>0</v>
      </c>
      <c r="O385" s="125">
        <f t="shared" si="30"/>
        <v>4834.97</v>
      </c>
      <c r="P385" s="164"/>
    </row>
    <row r="386" spans="1:17" ht="14.5" x14ac:dyDescent="0.35">
      <c r="A386" s="184" t="s">
        <v>155</v>
      </c>
      <c r="B386" s="184" t="s">
        <v>402</v>
      </c>
      <c r="C386" s="184" t="s">
        <v>173</v>
      </c>
      <c r="D386" s="185" t="s">
        <v>287</v>
      </c>
      <c r="E386" s="185">
        <v>15178</v>
      </c>
      <c r="F386" s="185" t="s">
        <v>149</v>
      </c>
      <c r="G386" s="189">
        <v>109901</v>
      </c>
      <c r="H386" s="184" t="s">
        <v>106</v>
      </c>
      <c r="I386" s="184" t="s">
        <v>294</v>
      </c>
      <c r="J386" s="184" t="s">
        <v>348</v>
      </c>
      <c r="K386" s="184" t="s">
        <v>295</v>
      </c>
      <c r="L386" s="185">
        <v>1</v>
      </c>
      <c r="M386" s="186">
        <v>5208.6899999999996</v>
      </c>
      <c r="N386" s="186">
        <v>0</v>
      </c>
      <c r="O386" s="125">
        <f t="shared" si="30"/>
        <v>5208.6899999999996</v>
      </c>
      <c r="P386" s="164"/>
    </row>
    <row r="387" spans="1:17" ht="14.5" x14ac:dyDescent="0.35">
      <c r="A387" s="184" t="s">
        <v>155</v>
      </c>
      <c r="B387" s="184" t="s">
        <v>403</v>
      </c>
      <c r="C387" s="184" t="s">
        <v>69</v>
      </c>
      <c r="D387" s="185" t="s">
        <v>287</v>
      </c>
      <c r="E387" s="185">
        <v>15270</v>
      </c>
      <c r="F387" s="185" t="s">
        <v>149</v>
      </c>
      <c r="G387" s="184">
        <v>101001</v>
      </c>
      <c r="H387" s="184" t="s">
        <v>108</v>
      </c>
      <c r="I387" s="184" t="s">
        <v>294</v>
      </c>
      <c r="J387" s="184" t="s">
        <v>295</v>
      </c>
      <c r="K387" s="184" t="s">
        <v>295</v>
      </c>
      <c r="L387" s="185">
        <v>1</v>
      </c>
      <c r="M387" s="186">
        <v>7726067.1799999997</v>
      </c>
      <c r="N387" s="186">
        <v>8239000</v>
      </c>
      <c r="O387" s="125">
        <f t="shared" si="30"/>
        <v>-512932.8200000003</v>
      </c>
      <c r="P387" s="125"/>
      <c r="Q387" s="73">
        <f t="shared" ref="Q387:Q408" si="34">M387*$Q$7*1.141</f>
        <v>881544.26523799996</v>
      </c>
    </row>
    <row r="388" spans="1:17" ht="14.5" x14ac:dyDescent="0.35">
      <c r="A388" s="184" t="s">
        <v>155</v>
      </c>
      <c r="B388" s="184" t="s">
        <v>403</v>
      </c>
      <c r="C388" s="184" t="s">
        <v>69</v>
      </c>
      <c r="D388" s="185" t="s">
        <v>287</v>
      </c>
      <c r="E388" s="185">
        <v>15271</v>
      </c>
      <c r="F388" s="185" t="s">
        <v>149</v>
      </c>
      <c r="G388" s="184">
        <v>101002</v>
      </c>
      <c r="H388" s="184" t="s">
        <v>109</v>
      </c>
      <c r="I388" s="184" t="s">
        <v>294</v>
      </c>
      <c r="J388" s="184" t="s">
        <v>295</v>
      </c>
      <c r="K388" s="184" t="s">
        <v>295</v>
      </c>
      <c r="L388" s="185">
        <v>1</v>
      </c>
      <c r="M388" s="186">
        <v>194640.04</v>
      </c>
      <c r="N388" s="186">
        <v>6000</v>
      </c>
      <c r="O388" s="125">
        <f t="shared" si="30"/>
        <v>188640.04</v>
      </c>
      <c r="P388" s="125"/>
      <c r="Q388" s="73">
        <f t="shared" si="34"/>
        <v>22208.428564000002</v>
      </c>
    </row>
    <row r="389" spans="1:17" ht="14.5" x14ac:dyDescent="0.35">
      <c r="A389" s="184" t="s">
        <v>155</v>
      </c>
      <c r="B389" s="184" t="s">
        <v>403</v>
      </c>
      <c r="C389" s="184" t="s">
        <v>69</v>
      </c>
      <c r="D389" s="185" t="s">
        <v>287</v>
      </c>
      <c r="E389" s="185">
        <v>15272</v>
      </c>
      <c r="F389" s="185" t="s">
        <v>149</v>
      </c>
      <c r="G389" s="184">
        <v>101002</v>
      </c>
      <c r="H389" s="184" t="s">
        <v>109</v>
      </c>
      <c r="I389" s="184" t="s">
        <v>294</v>
      </c>
      <c r="J389" s="184" t="s">
        <v>349</v>
      </c>
      <c r="K389" s="184" t="s">
        <v>295</v>
      </c>
      <c r="L389" s="185">
        <v>1</v>
      </c>
      <c r="M389" s="186">
        <v>0</v>
      </c>
      <c r="N389" s="186">
        <v>111000</v>
      </c>
      <c r="O389" s="125">
        <f t="shared" si="30"/>
        <v>-111000</v>
      </c>
      <c r="P389" s="125"/>
      <c r="Q389" s="73">
        <f t="shared" si="34"/>
        <v>0</v>
      </c>
    </row>
    <row r="390" spans="1:17" ht="14.5" x14ac:dyDescent="0.35">
      <c r="A390" s="184" t="s">
        <v>155</v>
      </c>
      <c r="B390" s="184" t="s">
        <v>403</v>
      </c>
      <c r="C390" s="184" t="s">
        <v>69</v>
      </c>
      <c r="D390" s="185" t="s">
        <v>287</v>
      </c>
      <c r="E390" s="185">
        <v>15273</v>
      </c>
      <c r="F390" s="185" t="s">
        <v>149</v>
      </c>
      <c r="G390" s="184">
        <v>101002</v>
      </c>
      <c r="H390" s="184" t="s">
        <v>109</v>
      </c>
      <c r="I390" s="184" t="s">
        <v>294</v>
      </c>
      <c r="J390" s="184" t="s">
        <v>347</v>
      </c>
      <c r="K390" s="184" t="s">
        <v>295</v>
      </c>
      <c r="L390" s="185">
        <v>1</v>
      </c>
      <c r="M390" s="186">
        <v>1073.17</v>
      </c>
      <c r="N390" s="186">
        <v>0</v>
      </c>
      <c r="O390" s="125">
        <f t="shared" si="30"/>
        <v>1073.17</v>
      </c>
      <c r="P390" s="125"/>
      <c r="Q390" s="73">
        <f t="shared" si="34"/>
        <v>122.44869700000001</v>
      </c>
    </row>
    <row r="391" spans="1:17" ht="14.5" x14ac:dyDescent="0.35">
      <c r="A391" s="184" t="s">
        <v>155</v>
      </c>
      <c r="B391" s="184" t="s">
        <v>403</v>
      </c>
      <c r="C391" s="184" t="s">
        <v>69</v>
      </c>
      <c r="D391" s="185" t="s">
        <v>287</v>
      </c>
      <c r="E391" s="185">
        <v>15274</v>
      </c>
      <c r="F391" s="185" t="s">
        <v>149</v>
      </c>
      <c r="G391" s="184">
        <v>101031</v>
      </c>
      <c r="H391" s="184" t="s">
        <v>156</v>
      </c>
      <c r="I391" s="184" t="s">
        <v>294</v>
      </c>
      <c r="J391" s="184" t="s">
        <v>295</v>
      </c>
      <c r="K391" s="184" t="s">
        <v>295</v>
      </c>
      <c r="L391" s="185">
        <v>1</v>
      </c>
      <c r="M391" s="186">
        <v>2398.33</v>
      </c>
      <c r="N391" s="186">
        <v>0</v>
      </c>
      <c r="O391" s="125">
        <f t="shared" si="30"/>
        <v>2398.33</v>
      </c>
      <c r="P391" s="125"/>
      <c r="Q391" s="73">
        <f t="shared" si="34"/>
        <v>273.64945299999999</v>
      </c>
    </row>
    <row r="392" spans="1:17" ht="14.5" x14ac:dyDescent="0.35">
      <c r="A392" s="184" t="s">
        <v>155</v>
      </c>
      <c r="B392" s="184" t="s">
        <v>403</v>
      </c>
      <c r="C392" s="184" t="s">
        <v>69</v>
      </c>
      <c r="D392" s="185" t="s">
        <v>287</v>
      </c>
      <c r="E392" s="185">
        <v>15275</v>
      </c>
      <c r="F392" s="185" t="s">
        <v>149</v>
      </c>
      <c r="G392" s="184">
        <v>101039</v>
      </c>
      <c r="H392" s="184" t="s">
        <v>111</v>
      </c>
      <c r="I392" s="184" t="s">
        <v>294</v>
      </c>
      <c r="J392" s="184" t="s">
        <v>295</v>
      </c>
      <c r="K392" s="184" t="s">
        <v>295</v>
      </c>
      <c r="L392" s="185">
        <v>1</v>
      </c>
      <c r="M392" s="186">
        <v>234880.36</v>
      </c>
      <c r="N392" s="186">
        <v>7000</v>
      </c>
      <c r="O392" s="125">
        <f t="shared" ref="O392:O455" si="35">M392-N392</f>
        <v>227880.36</v>
      </c>
      <c r="P392" s="125"/>
      <c r="Q392" s="73">
        <f t="shared" si="34"/>
        <v>26799.849075999999</v>
      </c>
    </row>
    <row r="393" spans="1:17" ht="14.5" x14ac:dyDescent="0.35">
      <c r="A393" s="184" t="s">
        <v>155</v>
      </c>
      <c r="B393" s="184" t="s">
        <v>403</v>
      </c>
      <c r="C393" s="184" t="s">
        <v>69</v>
      </c>
      <c r="D393" s="185" t="s">
        <v>287</v>
      </c>
      <c r="E393" s="185">
        <v>15276</v>
      </c>
      <c r="F393" s="185" t="s">
        <v>149</v>
      </c>
      <c r="G393" s="184">
        <v>102002</v>
      </c>
      <c r="H393" s="184" t="s">
        <v>112</v>
      </c>
      <c r="I393" s="184" t="s">
        <v>294</v>
      </c>
      <c r="J393" s="184" t="s">
        <v>295</v>
      </c>
      <c r="K393" s="184" t="s">
        <v>295</v>
      </c>
      <c r="L393" s="185">
        <v>1</v>
      </c>
      <c r="M393" s="186">
        <v>20212.93</v>
      </c>
      <c r="N393" s="186">
        <v>0</v>
      </c>
      <c r="O393" s="125">
        <f t="shared" si="35"/>
        <v>20212.93</v>
      </c>
      <c r="P393" s="125"/>
      <c r="Q393" s="73">
        <f t="shared" si="34"/>
        <v>2306.2953130000001</v>
      </c>
    </row>
    <row r="394" spans="1:17" ht="14.5" x14ac:dyDescent="0.35">
      <c r="A394" s="184" t="s">
        <v>155</v>
      </c>
      <c r="B394" s="184" t="s">
        <v>403</v>
      </c>
      <c r="C394" s="184" t="s">
        <v>69</v>
      </c>
      <c r="D394" s="185" t="s">
        <v>287</v>
      </c>
      <c r="E394" s="185">
        <v>15277</v>
      </c>
      <c r="F394" s="185" t="s">
        <v>149</v>
      </c>
      <c r="G394" s="184">
        <v>102002</v>
      </c>
      <c r="H394" s="184" t="s">
        <v>112</v>
      </c>
      <c r="I394" s="184" t="s">
        <v>294</v>
      </c>
      <c r="J394" s="184" t="s">
        <v>347</v>
      </c>
      <c r="K394" s="184" t="s">
        <v>295</v>
      </c>
      <c r="L394" s="185">
        <v>1</v>
      </c>
      <c r="M394" s="186">
        <v>19667.45</v>
      </c>
      <c r="N394" s="186">
        <v>0</v>
      </c>
      <c r="O394" s="125">
        <f t="shared" si="35"/>
        <v>19667.45</v>
      </c>
      <c r="P394" s="125"/>
      <c r="Q394" s="73">
        <f t="shared" si="34"/>
        <v>2244.0560450000003</v>
      </c>
    </row>
    <row r="395" spans="1:17" ht="14.5" x14ac:dyDescent="0.35">
      <c r="A395" s="184" t="s">
        <v>155</v>
      </c>
      <c r="B395" s="184" t="s">
        <v>403</v>
      </c>
      <c r="C395" s="184" t="s">
        <v>69</v>
      </c>
      <c r="D395" s="185" t="s">
        <v>287</v>
      </c>
      <c r="E395" s="185">
        <v>15278</v>
      </c>
      <c r="F395" s="185" t="s">
        <v>149</v>
      </c>
      <c r="G395" s="184">
        <v>102003</v>
      </c>
      <c r="H395" s="184" t="s">
        <v>110</v>
      </c>
      <c r="I395" s="184" t="s">
        <v>294</v>
      </c>
      <c r="J395" s="184" t="s">
        <v>295</v>
      </c>
      <c r="K395" s="184" t="s">
        <v>295</v>
      </c>
      <c r="L395" s="185">
        <v>1</v>
      </c>
      <c r="M395" s="186">
        <v>426203.07</v>
      </c>
      <c r="N395" s="186">
        <v>183000</v>
      </c>
      <c r="O395" s="125">
        <f t="shared" si="35"/>
        <v>243203.07</v>
      </c>
      <c r="P395" s="125"/>
      <c r="Q395" s="73">
        <f t="shared" si="34"/>
        <v>48629.770286999999</v>
      </c>
    </row>
    <row r="396" spans="1:17" ht="14.5" x14ac:dyDescent="0.35">
      <c r="A396" s="184" t="s">
        <v>155</v>
      </c>
      <c r="B396" s="184" t="s">
        <v>403</v>
      </c>
      <c r="C396" s="184" t="s">
        <v>69</v>
      </c>
      <c r="D396" s="185" t="s">
        <v>287</v>
      </c>
      <c r="E396" s="185">
        <v>15279</v>
      </c>
      <c r="F396" s="185" t="s">
        <v>149</v>
      </c>
      <c r="G396" s="184">
        <v>102003</v>
      </c>
      <c r="H396" s="184" t="s">
        <v>110</v>
      </c>
      <c r="I396" s="184" t="s">
        <v>294</v>
      </c>
      <c r="J396" s="184" t="s">
        <v>349</v>
      </c>
      <c r="K396" s="184" t="s">
        <v>295</v>
      </c>
      <c r="L396" s="185">
        <v>1</v>
      </c>
      <c r="M396" s="186">
        <v>90062.73</v>
      </c>
      <c r="N396" s="186">
        <v>0</v>
      </c>
      <c r="O396" s="125">
        <f t="shared" si="35"/>
        <v>90062.73</v>
      </c>
      <c r="P396" s="125"/>
      <c r="Q396" s="73">
        <f t="shared" si="34"/>
        <v>10276.157492999999</v>
      </c>
    </row>
    <row r="397" spans="1:17" ht="14.5" x14ac:dyDescent="0.35">
      <c r="A397" s="184" t="s">
        <v>155</v>
      </c>
      <c r="B397" s="184" t="s">
        <v>403</v>
      </c>
      <c r="C397" s="184" t="s">
        <v>69</v>
      </c>
      <c r="D397" s="185" t="s">
        <v>287</v>
      </c>
      <c r="E397" s="185">
        <v>15280</v>
      </c>
      <c r="F397" s="185" t="s">
        <v>149</v>
      </c>
      <c r="G397" s="184">
        <v>102005</v>
      </c>
      <c r="H397" s="184" t="s">
        <v>116</v>
      </c>
      <c r="I397" s="184" t="s">
        <v>294</v>
      </c>
      <c r="J397" s="184" t="s">
        <v>295</v>
      </c>
      <c r="K397" s="184" t="s">
        <v>295</v>
      </c>
      <c r="L397" s="185">
        <v>1</v>
      </c>
      <c r="M397" s="186">
        <v>50414.42</v>
      </c>
      <c r="N397" s="186">
        <v>40000</v>
      </c>
      <c r="O397" s="125">
        <f t="shared" si="35"/>
        <v>10414.419999999998</v>
      </c>
      <c r="P397" s="125"/>
      <c r="Q397" s="73">
        <f t="shared" si="34"/>
        <v>5752.2853219999997</v>
      </c>
    </row>
    <row r="398" spans="1:17" ht="14.5" x14ac:dyDescent="0.35">
      <c r="A398" s="184" t="s">
        <v>155</v>
      </c>
      <c r="B398" s="184" t="s">
        <v>403</v>
      </c>
      <c r="C398" s="184" t="s">
        <v>69</v>
      </c>
      <c r="D398" s="185" t="s">
        <v>287</v>
      </c>
      <c r="E398" s="185">
        <v>15281</v>
      </c>
      <c r="F398" s="185" t="s">
        <v>149</v>
      </c>
      <c r="G398" s="184">
        <v>102005</v>
      </c>
      <c r="H398" s="184" t="s">
        <v>116</v>
      </c>
      <c r="I398" s="184" t="s">
        <v>294</v>
      </c>
      <c r="J398" s="184" t="s">
        <v>349</v>
      </c>
      <c r="K398" s="184" t="s">
        <v>295</v>
      </c>
      <c r="L398" s="185">
        <v>1</v>
      </c>
      <c r="M398" s="186">
        <v>20750.849999999999</v>
      </c>
      <c r="N398" s="186">
        <v>0</v>
      </c>
      <c r="O398" s="125">
        <f t="shared" si="35"/>
        <v>20750.849999999999</v>
      </c>
      <c r="P398" s="125"/>
      <c r="Q398" s="73">
        <f t="shared" si="34"/>
        <v>2367.6719849999999</v>
      </c>
    </row>
    <row r="399" spans="1:17" ht="14.5" x14ac:dyDescent="0.35">
      <c r="A399" s="184" t="s">
        <v>155</v>
      </c>
      <c r="B399" s="184" t="s">
        <v>403</v>
      </c>
      <c r="C399" s="184" t="s">
        <v>69</v>
      </c>
      <c r="D399" s="185" t="s">
        <v>287</v>
      </c>
      <c r="E399" s="185">
        <v>15282</v>
      </c>
      <c r="F399" s="185" t="s">
        <v>149</v>
      </c>
      <c r="G399" s="184">
        <v>102062</v>
      </c>
      <c r="H399" s="184" t="s">
        <v>117</v>
      </c>
      <c r="I399" s="184" t="s">
        <v>294</v>
      </c>
      <c r="J399" s="184" t="s">
        <v>295</v>
      </c>
      <c r="K399" s="184" t="s">
        <v>295</v>
      </c>
      <c r="L399" s="185">
        <v>1</v>
      </c>
      <c r="M399" s="186">
        <v>8709.43</v>
      </c>
      <c r="N399" s="186">
        <v>0</v>
      </c>
      <c r="O399" s="125">
        <f t="shared" si="35"/>
        <v>8709.43</v>
      </c>
      <c r="P399" s="125"/>
      <c r="Q399" s="73">
        <f t="shared" si="34"/>
        <v>993.74596300000007</v>
      </c>
    </row>
    <row r="400" spans="1:17" ht="14.5" x14ac:dyDescent="0.35">
      <c r="A400" s="184" t="s">
        <v>155</v>
      </c>
      <c r="B400" s="184" t="s">
        <v>403</v>
      </c>
      <c r="C400" s="184" t="s">
        <v>69</v>
      </c>
      <c r="D400" s="185" t="s">
        <v>287</v>
      </c>
      <c r="E400" s="185">
        <v>15283</v>
      </c>
      <c r="F400" s="185" t="s">
        <v>149</v>
      </c>
      <c r="G400" s="184">
        <v>103001</v>
      </c>
      <c r="H400" s="184" t="s">
        <v>113</v>
      </c>
      <c r="I400" s="184" t="s">
        <v>294</v>
      </c>
      <c r="J400" s="184" t="s">
        <v>295</v>
      </c>
      <c r="K400" s="184" t="s">
        <v>295</v>
      </c>
      <c r="L400" s="185">
        <v>1</v>
      </c>
      <c r="M400" s="186">
        <v>10064.61</v>
      </c>
      <c r="N400" s="186">
        <v>0</v>
      </c>
      <c r="O400" s="125">
        <f t="shared" si="35"/>
        <v>10064.61</v>
      </c>
      <c r="P400" s="125"/>
      <c r="Q400" s="73">
        <f t="shared" si="34"/>
        <v>1148.3720010000002</v>
      </c>
    </row>
    <row r="401" spans="1:17" ht="14.5" x14ac:dyDescent="0.35">
      <c r="A401" s="184" t="s">
        <v>155</v>
      </c>
      <c r="B401" s="184" t="s">
        <v>403</v>
      </c>
      <c r="C401" s="184" t="s">
        <v>69</v>
      </c>
      <c r="D401" s="185" t="s">
        <v>287</v>
      </c>
      <c r="E401" s="185">
        <v>15284</v>
      </c>
      <c r="F401" s="185" t="s">
        <v>149</v>
      </c>
      <c r="G401" s="184">
        <v>103062</v>
      </c>
      <c r="H401" s="184" t="s">
        <v>118</v>
      </c>
      <c r="I401" s="184" t="s">
        <v>294</v>
      </c>
      <c r="J401" s="184" t="s">
        <v>295</v>
      </c>
      <c r="K401" s="184" t="s">
        <v>295</v>
      </c>
      <c r="L401" s="185">
        <v>1</v>
      </c>
      <c r="M401" s="186">
        <v>440.97</v>
      </c>
      <c r="N401" s="186">
        <v>0</v>
      </c>
      <c r="O401" s="125">
        <f t="shared" si="35"/>
        <v>440.97</v>
      </c>
      <c r="P401" s="125"/>
      <c r="Q401" s="73">
        <f t="shared" si="34"/>
        <v>50.31467700000001</v>
      </c>
    </row>
    <row r="402" spans="1:17" ht="14.5" x14ac:dyDescent="0.35">
      <c r="A402" s="184" t="s">
        <v>155</v>
      </c>
      <c r="B402" s="184" t="s">
        <v>403</v>
      </c>
      <c r="C402" s="184" t="s">
        <v>69</v>
      </c>
      <c r="D402" s="185" t="s">
        <v>287</v>
      </c>
      <c r="E402" s="185">
        <v>15285</v>
      </c>
      <c r="F402" s="185" t="s">
        <v>149</v>
      </c>
      <c r="G402" s="184">
        <v>103069</v>
      </c>
      <c r="H402" s="184" t="s">
        <v>225</v>
      </c>
      <c r="I402" s="184" t="s">
        <v>294</v>
      </c>
      <c r="J402" s="184" t="s">
        <v>295</v>
      </c>
      <c r="K402" s="184" t="s">
        <v>295</v>
      </c>
      <c r="L402" s="185">
        <v>1</v>
      </c>
      <c r="M402" s="186">
        <v>27392.36</v>
      </c>
      <c r="N402" s="186">
        <v>0</v>
      </c>
      <c r="O402" s="125">
        <f t="shared" si="35"/>
        <v>27392.36</v>
      </c>
      <c r="P402" s="125"/>
      <c r="Q402" s="73">
        <f t="shared" si="34"/>
        <v>3125.4682760000005</v>
      </c>
    </row>
    <row r="403" spans="1:17" ht="14.5" x14ac:dyDescent="0.35">
      <c r="A403" s="184" t="s">
        <v>155</v>
      </c>
      <c r="B403" s="184" t="s">
        <v>403</v>
      </c>
      <c r="C403" s="184" t="s">
        <v>69</v>
      </c>
      <c r="D403" s="185" t="s">
        <v>287</v>
      </c>
      <c r="E403" s="185">
        <v>15286</v>
      </c>
      <c r="F403" s="185" t="s">
        <v>149</v>
      </c>
      <c r="G403" s="184">
        <v>104000</v>
      </c>
      <c r="H403" s="184" t="s">
        <v>114</v>
      </c>
      <c r="I403" s="184" t="s">
        <v>294</v>
      </c>
      <c r="J403" s="184" t="s">
        <v>295</v>
      </c>
      <c r="K403" s="184" t="s">
        <v>295</v>
      </c>
      <c r="L403" s="185">
        <v>1</v>
      </c>
      <c r="M403" s="186">
        <v>42748.1</v>
      </c>
      <c r="N403" s="186">
        <v>63000</v>
      </c>
      <c r="O403" s="125">
        <f t="shared" si="35"/>
        <v>-20251.900000000001</v>
      </c>
      <c r="P403" s="125"/>
      <c r="Q403" s="73">
        <f t="shared" si="34"/>
        <v>4877.5582100000001</v>
      </c>
    </row>
    <row r="404" spans="1:17" ht="14.5" x14ac:dyDescent="0.35">
      <c r="A404" s="184" t="s">
        <v>155</v>
      </c>
      <c r="B404" s="184" t="s">
        <v>403</v>
      </c>
      <c r="C404" s="184" t="s">
        <v>69</v>
      </c>
      <c r="D404" s="185" t="s">
        <v>287</v>
      </c>
      <c r="E404" s="185">
        <v>15287</v>
      </c>
      <c r="F404" s="185" t="s">
        <v>149</v>
      </c>
      <c r="G404" s="184">
        <v>104000</v>
      </c>
      <c r="H404" s="184" t="s">
        <v>114</v>
      </c>
      <c r="I404" s="184" t="s">
        <v>294</v>
      </c>
      <c r="J404" s="184" t="s">
        <v>349</v>
      </c>
      <c r="K404" s="184" t="s">
        <v>295</v>
      </c>
      <c r="L404" s="185">
        <v>1</v>
      </c>
      <c r="M404" s="186">
        <v>18803.05</v>
      </c>
      <c r="N404" s="186">
        <v>19000</v>
      </c>
      <c r="O404" s="125">
        <f t="shared" si="35"/>
        <v>-196.95000000000073</v>
      </c>
      <c r="P404" s="125"/>
      <c r="Q404" s="73">
        <f t="shared" si="34"/>
        <v>2145.4280050000002</v>
      </c>
    </row>
    <row r="405" spans="1:17" ht="14.5" x14ac:dyDescent="0.35">
      <c r="A405" s="184" t="s">
        <v>155</v>
      </c>
      <c r="B405" s="184" t="s">
        <v>403</v>
      </c>
      <c r="C405" s="184" t="s">
        <v>69</v>
      </c>
      <c r="D405" s="185" t="s">
        <v>287</v>
      </c>
      <c r="E405" s="185">
        <v>15288</v>
      </c>
      <c r="F405" s="185" t="s">
        <v>149</v>
      </c>
      <c r="G405" s="184">
        <v>104000</v>
      </c>
      <c r="H405" s="184" t="s">
        <v>114</v>
      </c>
      <c r="I405" s="184" t="s">
        <v>294</v>
      </c>
      <c r="J405" s="184" t="s">
        <v>404</v>
      </c>
      <c r="K405" s="184" t="s">
        <v>295</v>
      </c>
      <c r="L405" s="185">
        <v>1</v>
      </c>
      <c r="M405" s="186">
        <v>164.39</v>
      </c>
      <c r="N405" s="186">
        <v>0</v>
      </c>
      <c r="O405" s="125">
        <f t="shared" si="35"/>
        <v>164.39</v>
      </c>
      <c r="P405" s="125"/>
      <c r="Q405" s="73">
        <f t="shared" si="34"/>
        <v>18.756899000000001</v>
      </c>
    </row>
    <row r="406" spans="1:17" ht="14.5" x14ac:dyDescent="0.35">
      <c r="A406" s="184" t="s">
        <v>155</v>
      </c>
      <c r="B406" s="184" t="s">
        <v>403</v>
      </c>
      <c r="C406" s="184" t="s">
        <v>69</v>
      </c>
      <c r="D406" s="185" t="s">
        <v>287</v>
      </c>
      <c r="E406" s="185">
        <v>15289</v>
      </c>
      <c r="F406" s="185" t="s">
        <v>149</v>
      </c>
      <c r="G406" s="184">
        <v>105019</v>
      </c>
      <c r="H406" s="184" t="s">
        <v>115</v>
      </c>
      <c r="I406" s="184" t="s">
        <v>294</v>
      </c>
      <c r="J406" s="184" t="s">
        <v>295</v>
      </c>
      <c r="K406" s="184" t="s">
        <v>295</v>
      </c>
      <c r="L406" s="185">
        <v>1</v>
      </c>
      <c r="M406" s="186">
        <v>63.6</v>
      </c>
      <c r="N406" s="186">
        <v>0</v>
      </c>
      <c r="O406" s="125">
        <f t="shared" si="35"/>
        <v>63.6</v>
      </c>
      <c r="P406" s="125"/>
      <c r="Q406" s="73">
        <f t="shared" si="34"/>
        <v>7.2567600000000008</v>
      </c>
    </row>
    <row r="407" spans="1:17" ht="14.5" x14ac:dyDescent="0.35">
      <c r="A407" s="184" t="s">
        <v>155</v>
      </c>
      <c r="B407" s="184" t="s">
        <v>403</v>
      </c>
      <c r="C407" s="184" t="s">
        <v>69</v>
      </c>
      <c r="D407" s="185" t="s">
        <v>287</v>
      </c>
      <c r="E407" s="185">
        <v>15290</v>
      </c>
      <c r="F407" s="185" t="s">
        <v>149</v>
      </c>
      <c r="G407" s="184">
        <v>105098</v>
      </c>
      <c r="H407" s="184" t="s">
        <v>314</v>
      </c>
      <c r="I407" s="184" t="s">
        <v>294</v>
      </c>
      <c r="J407" s="184" t="s">
        <v>391</v>
      </c>
      <c r="K407" s="184" t="s">
        <v>295</v>
      </c>
      <c r="L407" s="185">
        <v>1</v>
      </c>
      <c r="M407" s="186">
        <v>-4392</v>
      </c>
      <c r="N407" s="186">
        <v>0</v>
      </c>
      <c r="O407" s="125">
        <f t="shared" si="35"/>
        <v>-4392</v>
      </c>
      <c r="P407" s="125"/>
      <c r="Q407" s="73">
        <f t="shared" si="34"/>
        <v>-501.12720000000007</v>
      </c>
    </row>
    <row r="408" spans="1:17" ht="14.5" x14ac:dyDescent="0.35">
      <c r="A408" s="184" t="s">
        <v>155</v>
      </c>
      <c r="B408" s="184" t="s">
        <v>403</v>
      </c>
      <c r="C408" s="184" t="s">
        <v>69</v>
      </c>
      <c r="D408" s="185" t="s">
        <v>287</v>
      </c>
      <c r="E408" s="185">
        <v>15291</v>
      </c>
      <c r="F408" s="185" t="s">
        <v>149</v>
      </c>
      <c r="G408" s="184">
        <v>105099</v>
      </c>
      <c r="H408" s="184" t="s">
        <v>107</v>
      </c>
      <c r="I408" s="184" t="s">
        <v>294</v>
      </c>
      <c r="J408" s="184" t="s">
        <v>392</v>
      </c>
      <c r="K408" s="184" t="s">
        <v>295</v>
      </c>
      <c r="L408" s="185">
        <v>1</v>
      </c>
      <c r="M408" s="186">
        <v>4392</v>
      </c>
      <c r="N408" s="186">
        <v>0</v>
      </c>
      <c r="O408" s="125">
        <f t="shared" si="35"/>
        <v>4392</v>
      </c>
      <c r="P408" s="125"/>
      <c r="Q408" s="73">
        <f t="shared" si="34"/>
        <v>501.12720000000007</v>
      </c>
    </row>
    <row r="409" spans="1:17" ht="14.5" x14ac:dyDescent="0.35">
      <c r="A409" s="184" t="s">
        <v>155</v>
      </c>
      <c r="B409" s="184" t="s">
        <v>403</v>
      </c>
      <c r="C409" s="184" t="s">
        <v>69</v>
      </c>
      <c r="D409" s="185" t="s">
        <v>287</v>
      </c>
      <c r="E409" s="185">
        <v>15292</v>
      </c>
      <c r="F409" s="185" t="s">
        <v>149</v>
      </c>
      <c r="G409" s="189">
        <v>109001</v>
      </c>
      <c r="H409" s="184" t="s">
        <v>105</v>
      </c>
      <c r="I409" s="184" t="s">
        <v>294</v>
      </c>
      <c r="J409" s="184" t="s">
        <v>295</v>
      </c>
      <c r="K409" s="184" t="s">
        <v>295</v>
      </c>
      <c r="L409" s="185">
        <v>1</v>
      </c>
      <c r="M409" s="186">
        <v>851344.85</v>
      </c>
      <c r="N409" s="186">
        <v>857000</v>
      </c>
      <c r="O409" s="125">
        <f t="shared" si="35"/>
        <v>-5655.1500000000233</v>
      </c>
      <c r="P409" s="164">
        <f t="shared" ref="P409:P411" si="36">M409*-1</f>
        <v>-851344.85</v>
      </c>
      <c r="Q409" s="164"/>
    </row>
    <row r="410" spans="1:17" ht="14.5" x14ac:dyDescent="0.35">
      <c r="A410" s="184" t="s">
        <v>155</v>
      </c>
      <c r="B410" s="184" t="s">
        <v>403</v>
      </c>
      <c r="C410" s="184" t="s">
        <v>69</v>
      </c>
      <c r="D410" s="185" t="s">
        <v>287</v>
      </c>
      <c r="E410" s="185">
        <v>15293</v>
      </c>
      <c r="F410" s="185" t="s">
        <v>149</v>
      </c>
      <c r="G410" s="189">
        <v>109001</v>
      </c>
      <c r="H410" s="184" t="s">
        <v>105</v>
      </c>
      <c r="I410" s="184" t="s">
        <v>294</v>
      </c>
      <c r="J410" s="184" t="s">
        <v>349</v>
      </c>
      <c r="K410" s="184" t="s">
        <v>295</v>
      </c>
      <c r="L410" s="185">
        <v>1</v>
      </c>
      <c r="M410" s="186">
        <v>11157.14</v>
      </c>
      <c r="N410" s="186">
        <v>11000</v>
      </c>
      <c r="O410" s="125">
        <f t="shared" si="35"/>
        <v>157.13999999999942</v>
      </c>
      <c r="P410" s="164">
        <f t="shared" si="36"/>
        <v>-11157.14</v>
      </c>
      <c r="Q410" s="164"/>
    </row>
    <row r="411" spans="1:17" ht="14.5" x14ac:dyDescent="0.35">
      <c r="A411" s="184" t="s">
        <v>155</v>
      </c>
      <c r="B411" s="184" t="s">
        <v>403</v>
      </c>
      <c r="C411" s="184" t="s">
        <v>69</v>
      </c>
      <c r="D411" s="185" t="s">
        <v>287</v>
      </c>
      <c r="E411" s="185">
        <v>15294</v>
      </c>
      <c r="F411" s="185" t="s">
        <v>149</v>
      </c>
      <c r="G411" s="189">
        <v>109001</v>
      </c>
      <c r="H411" s="184" t="s">
        <v>105</v>
      </c>
      <c r="I411" s="184" t="s">
        <v>294</v>
      </c>
      <c r="J411" s="184" t="s">
        <v>347</v>
      </c>
      <c r="K411" s="184" t="s">
        <v>295</v>
      </c>
      <c r="L411" s="185">
        <v>1</v>
      </c>
      <c r="M411" s="186">
        <v>1969.01</v>
      </c>
      <c r="N411" s="186">
        <v>0</v>
      </c>
      <c r="O411" s="125">
        <f t="shared" si="35"/>
        <v>1969.01</v>
      </c>
      <c r="P411" s="164">
        <f t="shared" si="36"/>
        <v>-1969.01</v>
      </c>
      <c r="Q411" s="164"/>
    </row>
    <row r="412" spans="1:17" ht="14.5" x14ac:dyDescent="0.35">
      <c r="A412" s="184" t="s">
        <v>155</v>
      </c>
      <c r="B412" s="184" t="s">
        <v>403</v>
      </c>
      <c r="C412" s="184" t="s">
        <v>69</v>
      </c>
      <c r="D412" s="185" t="s">
        <v>287</v>
      </c>
      <c r="E412" s="185">
        <v>15295</v>
      </c>
      <c r="F412" s="185" t="s">
        <v>149</v>
      </c>
      <c r="G412" s="189">
        <v>109901</v>
      </c>
      <c r="H412" s="184" t="s">
        <v>106</v>
      </c>
      <c r="I412" s="184" t="s">
        <v>294</v>
      </c>
      <c r="J412" s="184" t="s">
        <v>295</v>
      </c>
      <c r="K412" s="184" t="s">
        <v>295</v>
      </c>
      <c r="L412" s="185">
        <v>1</v>
      </c>
      <c r="M412" s="186">
        <v>1271534.97</v>
      </c>
      <c r="N412" s="186">
        <v>1327000</v>
      </c>
      <c r="O412" s="125">
        <f t="shared" si="35"/>
        <v>-55465.030000000028</v>
      </c>
      <c r="P412" s="164"/>
    </row>
    <row r="413" spans="1:17" ht="14.5" x14ac:dyDescent="0.35">
      <c r="A413" s="184" t="s">
        <v>155</v>
      </c>
      <c r="B413" s="184" t="s">
        <v>403</v>
      </c>
      <c r="C413" s="184" t="s">
        <v>69</v>
      </c>
      <c r="D413" s="185" t="s">
        <v>287</v>
      </c>
      <c r="E413" s="185">
        <v>15296</v>
      </c>
      <c r="F413" s="185" t="s">
        <v>149</v>
      </c>
      <c r="G413" s="189">
        <v>109901</v>
      </c>
      <c r="H413" s="184" t="s">
        <v>106</v>
      </c>
      <c r="I413" s="184" t="s">
        <v>294</v>
      </c>
      <c r="J413" s="184" t="s">
        <v>349</v>
      </c>
      <c r="K413" s="184" t="s">
        <v>295</v>
      </c>
      <c r="L413" s="185">
        <v>1</v>
      </c>
      <c r="M413" s="186">
        <v>19849.07</v>
      </c>
      <c r="N413" s="186">
        <v>20000</v>
      </c>
      <c r="O413" s="125">
        <f t="shared" si="35"/>
        <v>-150.93000000000029</v>
      </c>
      <c r="P413" s="164"/>
    </row>
    <row r="414" spans="1:17" ht="14.5" x14ac:dyDescent="0.35">
      <c r="A414" s="184" t="s">
        <v>155</v>
      </c>
      <c r="B414" s="184" t="s">
        <v>403</v>
      </c>
      <c r="C414" s="184" t="s">
        <v>69</v>
      </c>
      <c r="D414" s="185" t="s">
        <v>287</v>
      </c>
      <c r="E414" s="185">
        <v>15297</v>
      </c>
      <c r="F414" s="185" t="s">
        <v>149</v>
      </c>
      <c r="G414" s="189">
        <v>109901</v>
      </c>
      <c r="H414" s="184" t="s">
        <v>106</v>
      </c>
      <c r="I414" s="184" t="s">
        <v>294</v>
      </c>
      <c r="J414" s="184" t="s">
        <v>392</v>
      </c>
      <c r="K414" s="184" t="s">
        <v>295</v>
      </c>
      <c r="L414" s="185">
        <v>1</v>
      </c>
      <c r="M414" s="186">
        <v>619.32000000000005</v>
      </c>
      <c r="N414" s="186">
        <v>0</v>
      </c>
      <c r="O414" s="125">
        <f t="shared" si="35"/>
        <v>619.32000000000005</v>
      </c>
      <c r="P414" s="125"/>
    </row>
    <row r="415" spans="1:17" ht="14.5" x14ac:dyDescent="0.35">
      <c r="A415" s="184" t="s">
        <v>155</v>
      </c>
      <c r="B415" s="184" t="s">
        <v>403</v>
      </c>
      <c r="C415" s="184" t="s">
        <v>69</v>
      </c>
      <c r="D415" s="185" t="s">
        <v>287</v>
      </c>
      <c r="E415" s="185">
        <v>15298</v>
      </c>
      <c r="F415" s="185" t="s">
        <v>149</v>
      </c>
      <c r="G415" s="189">
        <v>109901</v>
      </c>
      <c r="H415" s="184" t="s">
        <v>106</v>
      </c>
      <c r="I415" s="184" t="s">
        <v>294</v>
      </c>
      <c r="J415" s="184" t="s">
        <v>347</v>
      </c>
      <c r="K415" s="184" t="s">
        <v>295</v>
      </c>
      <c r="L415" s="185">
        <v>1</v>
      </c>
      <c r="M415" s="186">
        <v>3202.03</v>
      </c>
      <c r="N415" s="186">
        <v>0</v>
      </c>
      <c r="O415" s="125">
        <f t="shared" si="35"/>
        <v>3202.03</v>
      </c>
      <c r="P415" s="125"/>
    </row>
    <row r="416" spans="1:17" ht="14.5" x14ac:dyDescent="0.35">
      <c r="A416" s="184" t="s">
        <v>155</v>
      </c>
      <c r="B416" s="184" t="s">
        <v>403</v>
      </c>
      <c r="C416" s="184" t="s">
        <v>69</v>
      </c>
      <c r="D416" s="185" t="s">
        <v>287</v>
      </c>
      <c r="E416" s="185">
        <v>15299</v>
      </c>
      <c r="F416" s="185" t="s">
        <v>149</v>
      </c>
      <c r="G416" s="189">
        <v>109901</v>
      </c>
      <c r="H416" s="184" t="s">
        <v>106</v>
      </c>
      <c r="I416" s="184" t="s">
        <v>294</v>
      </c>
      <c r="J416" s="184" t="s">
        <v>404</v>
      </c>
      <c r="K416" s="184" t="s">
        <v>295</v>
      </c>
      <c r="L416" s="185">
        <v>1</v>
      </c>
      <c r="M416" s="186">
        <v>23.18</v>
      </c>
      <c r="N416" s="186">
        <v>0</v>
      </c>
      <c r="O416" s="125">
        <f t="shared" si="35"/>
        <v>23.18</v>
      </c>
      <c r="P416" s="164"/>
    </row>
    <row r="417" spans="1:17" ht="14.5" x14ac:dyDescent="0.35">
      <c r="A417" s="184" t="s">
        <v>155</v>
      </c>
      <c r="B417" s="184" t="s">
        <v>405</v>
      </c>
      <c r="C417" s="184" t="s">
        <v>74</v>
      </c>
      <c r="D417" s="185" t="s">
        <v>287</v>
      </c>
      <c r="E417" s="185">
        <v>15389</v>
      </c>
      <c r="F417" s="185" t="s">
        <v>149</v>
      </c>
      <c r="G417" s="184">
        <v>101001</v>
      </c>
      <c r="H417" s="184" t="s">
        <v>108</v>
      </c>
      <c r="I417" s="184" t="s">
        <v>294</v>
      </c>
      <c r="J417" s="184" t="s">
        <v>295</v>
      </c>
      <c r="K417" s="184" t="s">
        <v>295</v>
      </c>
      <c r="L417" s="185">
        <v>1</v>
      </c>
      <c r="M417" s="186">
        <v>8197702.71</v>
      </c>
      <c r="N417" s="186">
        <v>9120000</v>
      </c>
      <c r="O417" s="125">
        <f t="shared" si="35"/>
        <v>-922297.29</v>
      </c>
      <c r="P417" s="125"/>
      <c r="Q417" s="73">
        <f t="shared" ref="Q417:Q443" si="37">M417*$Q$7*1.141</f>
        <v>935357.87921100005</v>
      </c>
    </row>
    <row r="418" spans="1:17" ht="14.5" x14ac:dyDescent="0.35">
      <c r="A418" s="184" t="s">
        <v>155</v>
      </c>
      <c r="B418" s="184" t="s">
        <v>405</v>
      </c>
      <c r="C418" s="184" t="s">
        <v>74</v>
      </c>
      <c r="D418" s="185" t="s">
        <v>287</v>
      </c>
      <c r="E418" s="185">
        <v>15390</v>
      </c>
      <c r="F418" s="185" t="s">
        <v>149</v>
      </c>
      <c r="G418" s="184">
        <v>101002</v>
      </c>
      <c r="H418" s="184" t="s">
        <v>109</v>
      </c>
      <c r="I418" s="184" t="s">
        <v>294</v>
      </c>
      <c r="J418" s="184" t="s">
        <v>295</v>
      </c>
      <c r="K418" s="184" t="s">
        <v>295</v>
      </c>
      <c r="L418" s="185">
        <v>1</v>
      </c>
      <c r="M418" s="186">
        <v>933428.76</v>
      </c>
      <c r="N418" s="186">
        <v>10000</v>
      </c>
      <c r="O418" s="125">
        <f t="shared" si="35"/>
        <v>923428.76</v>
      </c>
      <c r="P418" s="125"/>
      <c r="Q418" s="73">
        <f t="shared" si="37"/>
        <v>106504.22151600001</v>
      </c>
    </row>
    <row r="419" spans="1:17" ht="14.5" x14ac:dyDescent="0.35">
      <c r="A419" s="184" t="s">
        <v>155</v>
      </c>
      <c r="B419" s="184" t="s">
        <v>405</v>
      </c>
      <c r="C419" s="184" t="s">
        <v>74</v>
      </c>
      <c r="D419" s="185" t="s">
        <v>287</v>
      </c>
      <c r="E419" s="185">
        <v>15391</v>
      </c>
      <c r="F419" s="185" t="s">
        <v>149</v>
      </c>
      <c r="G419" s="184">
        <v>101002</v>
      </c>
      <c r="H419" s="184" t="s">
        <v>109</v>
      </c>
      <c r="I419" s="184" t="s">
        <v>294</v>
      </c>
      <c r="J419" s="184" t="s">
        <v>349</v>
      </c>
      <c r="K419" s="184" t="s">
        <v>295</v>
      </c>
      <c r="L419" s="185">
        <v>1</v>
      </c>
      <c r="M419" s="186">
        <v>0</v>
      </c>
      <c r="N419" s="186">
        <v>102000</v>
      </c>
      <c r="O419" s="125">
        <f t="shared" si="35"/>
        <v>-102000</v>
      </c>
      <c r="P419" s="125"/>
      <c r="Q419" s="73">
        <f t="shared" si="37"/>
        <v>0</v>
      </c>
    </row>
    <row r="420" spans="1:17" ht="14.5" x14ac:dyDescent="0.35">
      <c r="A420" s="184" t="s">
        <v>155</v>
      </c>
      <c r="B420" s="184" t="s">
        <v>405</v>
      </c>
      <c r="C420" s="184" t="s">
        <v>74</v>
      </c>
      <c r="D420" s="185" t="s">
        <v>287</v>
      </c>
      <c r="E420" s="185">
        <v>15392</v>
      </c>
      <c r="F420" s="185" t="s">
        <v>149</v>
      </c>
      <c r="G420" s="184">
        <v>101039</v>
      </c>
      <c r="H420" s="184" t="s">
        <v>111</v>
      </c>
      <c r="I420" s="184" t="s">
        <v>294</v>
      </c>
      <c r="J420" s="184" t="s">
        <v>295</v>
      </c>
      <c r="K420" s="184" t="s">
        <v>295</v>
      </c>
      <c r="L420" s="185">
        <v>1</v>
      </c>
      <c r="M420" s="186">
        <v>260193.01</v>
      </c>
      <c r="N420" s="186">
        <v>8000</v>
      </c>
      <c r="O420" s="125">
        <f t="shared" si="35"/>
        <v>252193.01</v>
      </c>
      <c r="P420" s="125"/>
      <c r="Q420" s="73">
        <f t="shared" si="37"/>
        <v>29688.022441000005</v>
      </c>
    </row>
    <row r="421" spans="1:17" ht="14.5" x14ac:dyDescent="0.35">
      <c r="A421" s="184" t="s">
        <v>155</v>
      </c>
      <c r="B421" s="184" t="s">
        <v>405</v>
      </c>
      <c r="C421" s="184" t="s">
        <v>74</v>
      </c>
      <c r="D421" s="185" t="s">
        <v>287</v>
      </c>
      <c r="E421" s="185">
        <v>15393</v>
      </c>
      <c r="F421" s="185" t="s">
        <v>149</v>
      </c>
      <c r="G421" s="184">
        <v>102002</v>
      </c>
      <c r="H421" s="184" t="s">
        <v>112</v>
      </c>
      <c r="I421" s="184" t="s">
        <v>294</v>
      </c>
      <c r="J421" s="184" t="s">
        <v>295</v>
      </c>
      <c r="K421" s="184" t="s">
        <v>295</v>
      </c>
      <c r="L421" s="185">
        <v>1</v>
      </c>
      <c r="M421" s="186">
        <v>20234.36</v>
      </c>
      <c r="N421" s="186">
        <v>0</v>
      </c>
      <c r="O421" s="125">
        <f t="shared" si="35"/>
        <v>20234.36</v>
      </c>
      <c r="P421" s="125"/>
      <c r="Q421" s="73">
        <f t="shared" si="37"/>
        <v>2308.7404760000004</v>
      </c>
    </row>
    <row r="422" spans="1:17" ht="14.5" x14ac:dyDescent="0.35">
      <c r="A422" s="184" t="s">
        <v>155</v>
      </c>
      <c r="B422" s="184" t="s">
        <v>405</v>
      </c>
      <c r="C422" s="184" t="s">
        <v>74</v>
      </c>
      <c r="D422" s="185" t="s">
        <v>287</v>
      </c>
      <c r="E422" s="185">
        <v>15394</v>
      </c>
      <c r="F422" s="185" t="s">
        <v>149</v>
      </c>
      <c r="G422" s="184">
        <v>102002</v>
      </c>
      <c r="H422" s="184" t="s">
        <v>112</v>
      </c>
      <c r="I422" s="184" t="s">
        <v>294</v>
      </c>
      <c r="J422" s="184" t="s">
        <v>347</v>
      </c>
      <c r="K422" s="184" t="s">
        <v>295</v>
      </c>
      <c r="L422" s="185">
        <v>1</v>
      </c>
      <c r="M422" s="186">
        <v>4087.83</v>
      </c>
      <c r="N422" s="186">
        <v>0</v>
      </c>
      <c r="O422" s="125">
        <f t="shared" si="35"/>
        <v>4087.83</v>
      </c>
      <c r="P422" s="125"/>
      <c r="Q422" s="73">
        <f t="shared" si="37"/>
        <v>466.421403</v>
      </c>
    </row>
    <row r="423" spans="1:17" ht="14.5" x14ac:dyDescent="0.35">
      <c r="A423" s="184" t="s">
        <v>155</v>
      </c>
      <c r="B423" s="184" t="s">
        <v>405</v>
      </c>
      <c r="C423" s="184" t="s">
        <v>74</v>
      </c>
      <c r="D423" s="185" t="s">
        <v>287</v>
      </c>
      <c r="E423" s="185">
        <v>15395</v>
      </c>
      <c r="F423" s="185" t="s">
        <v>149</v>
      </c>
      <c r="G423" s="184">
        <v>102002</v>
      </c>
      <c r="H423" s="184" t="s">
        <v>112</v>
      </c>
      <c r="I423" s="184" t="s">
        <v>294</v>
      </c>
      <c r="J423" s="184" t="s">
        <v>348</v>
      </c>
      <c r="K423" s="184" t="s">
        <v>295</v>
      </c>
      <c r="L423" s="185">
        <v>1</v>
      </c>
      <c r="M423" s="186">
        <v>9752.5</v>
      </c>
      <c r="N423" s="186">
        <v>0</v>
      </c>
      <c r="O423" s="125">
        <f t="shared" si="35"/>
        <v>9752.5</v>
      </c>
      <c r="P423" s="125"/>
      <c r="Q423" s="73">
        <f t="shared" si="37"/>
        <v>1112.76025</v>
      </c>
    </row>
    <row r="424" spans="1:17" ht="14.5" x14ac:dyDescent="0.35">
      <c r="A424" s="184" t="s">
        <v>155</v>
      </c>
      <c r="B424" s="184" t="s">
        <v>405</v>
      </c>
      <c r="C424" s="184" t="s">
        <v>74</v>
      </c>
      <c r="D424" s="185" t="s">
        <v>287</v>
      </c>
      <c r="E424" s="185">
        <v>15396</v>
      </c>
      <c r="F424" s="185" t="s">
        <v>149</v>
      </c>
      <c r="G424" s="184">
        <v>102003</v>
      </c>
      <c r="H424" s="184" t="s">
        <v>110</v>
      </c>
      <c r="I424" s="184" t="s">
        <v>294</v>
      </c>
      <c r="J424" s="184" t="s">
        <v>295</v>
      </c>
      <c r="K424" s="184" t="s">
        <v>295</v>
      </c>
      <c r="L424" s="185">
        <v>1</v>
      </c>
      <c r="M424" s="186">
        <v>358301.76</v>
      </c>
      <c r="N424" s="186">
        <v>201000</v>
      </c>
      <c r="O424" s="125">
        <f t="shared" si="35"/>
        <v>157301.76000000001</v>
      </c>
      <c r="P424" s="125"/>
      <c r="Q424" s="73">
        <f t="shared" si="37"/>
        <v>40882.230816000003</v>
      </c>
    </row>
    <row r="425" spans="1:17" ht="14.5" x14ac:dyDescent="0.35">
      <c r="A425" s="184" t="s">
        <v>155</v>
      </c>
      <c r="B425" s="184" t="s">
        <v>405</v>
      </c>
      <c r="C425" s="184" t="s">
        <v>74</v>
      </c>
      <c r="D425" s="185" t="s">
        <v>287</v>
      </c>
      <c r="E425" s="185">
        <v>15397</v>
      </c>
      <c r="F425" s="185" t="s">
        <v>149</v>
      </c>
      <c r="G425" s="184">
        <v>102003</v>
      </c>
      <c r="H425" s="184" t="s">
        <v>110</v>
      </c>
      <c r="I425" s="184" t="s">
        <v>294</v>
      </c>
      <c r="J425" s="184" t="s">
        <v>349</v>
      </c>
      <c r="K425" s="184" t="s">
        <v>295</v>
      </c>
      <c r="L425" s="185">
        <v>1</v>
      </c>
      <c r="M425" s="186">
        <v>86861.86</v>
      </c>
      <c r="N425" s="186">
        <v>0</v>
      </c>
      <c r="O425" s="125">
        <f t="shared" si="35"/>
        <v>86861.86</v>
      </c>
      <c r="P425" s="125"/>
      <c r="Q425" s="73">
        <f t="shared" si="37"/>
        <v>9910.9382260000002</v>
      </c>
    </row>
    <row r="426" spans="1:17" ht="14.5" x14ac:dyDescent="0.35">
      <c r="A426" s="184" t="s">
        <v>155</v>
      </c>
      <c r="B426" s="184" t="s">
        <v>405</v>
      </c>
      <c r="C426" s="184" t="s">
        <v>74</v>
      </c>
      <c r="D426" s="185" t="s">
        <v>287</v>
      </c>
      <c r="E426" s="185">
        <v>15398</v>
      </c>
      <c r="F426" s="185" t="s">
        <v>149</v>
      </c>
      <c r="G426" s="184">
        <v>102003</v>
      </c>
      <c r="H426" s="184" t="s">
        <v>110</v>
      </c>
      <c r="I426" s="184" t="s">
        <v>294</v>
      </c>
      <c r="J426" s="184" t="s">
        <v>348</v>
      </c>
      <c r="K426" s="184" t="s">
        <v>295</v>
      </c>
      <c r="L426" s="185">
        <v>1</v>
      </c>
      <c r="M426" s="186">
        <v>2113.8000000000002</v>
      </c>
      <c r="N426" s="186">
        <v>0</v>
      </c>
      <c r="O426" s="125">
        <f t="shared" si="35"/>
        <v>2113.8000000000002</v>
      </c>
      <c r="P426" s="125"/>
      <c r="Q426" s="73">
        <f t="shared" si="37"/>
        <v>241.18458000000004</v>
      </c>
    </row>
    <row r="427" spans="1:17" ht="14.5" x14ac:dyDescent="0.35">
      <c r="A427" s="184" t="s">
        <v>155</v>
      </c>
      <c r="B427" s="184" t="s">
        <v>405</v>
      </c>
      <c r="C427" s="184" t="s">
        <v>74</v>
      </c>
      <c r="D427" s="185" t="s">
        <v>287</v>
      </c>
      <c r="E427" s="185">
        <v>15399</v>
      </c>
      <c r="F427" s="185" t="s">
        <v>149</v>
      </c>
      <c r="G427" s="184">
        <v>102005</v>
      </c>
      <c r="H427" s="184" t="s">
        <v>116</v>
      </c>
      <c r="I427" s="184" t="s">
        <v>294</v>
      </c>
      <c r="J427" s="184" t="s">
        <v>295</v>
      </c>
      <c r="K427" s="184" t="s">
        <v>295</v>
      </c>
      <c r="L427" s="185">
        <v>1</v>
      </c>
      <c r="M427" s="186">
        <v>139408.92000000001</v>
      </c>
      <c r="N427" s="186">
        <v>40000</v>
      </c>
      <c r="O427" s="125">
        <f t="shared" si="35"/>
        <v>99408.920000000013</v>
      </c>
      <c r="P427" s="125"/>
      <c r="Q427" s="73">
        <f t="shared" si="37"/>
        <v>15906.557772000002</v>
      </c>
    </row>
    <row r="428" spans="1:17" ht="14.5" x14ac:dyDescent="0.35">
      <c r="A428" s="184" t="s">
        <v>155</v>
      </c>
      <c r="B428" s="184" t="s">
        <v>405</v>
      </c>
      <c r="C428" s="184" t="s">
        <v>74</v>
      </c>
      <c r="D428" s="185" t="s">
        <v>287</v>
      </c>
      <c r="E428" s="185">
        <v>15400</v>
      </c>
      <c r="F428" s="185" t="s">
        <v>149</v>
      </c>
      <c r="G428" s="184">
        <v>102005</v>
      </c>
      <c r="H428" s="184" t="s">
        <v>116</v>
      </c>
      <c r="I428" s="184" t="s">
        <v>294</v>
      </c>
      <c r="J428" s="184" t="s">
        <v>349</v>
      </c>
      <c r="K428" s="184" t="s">
        <v>295</v>
      </c>
      <c r="L428" s="185">
        <v>1</v>
      </c>
      <c r="M428" s="186">
        <v>12370.48</v>
      </c>
      <c r="N428" s="186">
        <v>0</v>
      </c>
      <c r="O428" s="125">
        <f t="shared" si="35"/>
        <v>12370.48</v>
      </c>
      <c r="P428" s="125"/>
      <c r="Q428" s="73">
        <f t="shared" si="37"/>
        <v>1411.4717680000001</v>
      </c>
    </row>
    <row r="429" spans="1:17" ht="14.5" x14ac:dyDescent="0.35">
      <c r="A429" s="184" t="s">
        <v>155</v>
      </c>
      <c r="B429" s="184" t="s">
        <v>405</v>
      </c>
      <c r="C429" s="184" t="s">
        <v>74</v>
      </c>
      <c r="D429" s="185" t="s">
        <v>287</v>
      </c>
      <c r="E429" s="185">
        <v>15401</v>
      </c>
      <c r="F429" s="185" t="s">
        <v>149</v>
      </c>
      <c r="G429" s="184">
        <v>102062</v>
      </c>
      <c r="H429" s="184" t="s">
        <v>117</v>
      </c>
      <c r="I429" s="184" t="s">
        <v>294</v>
      </c>
      <c r="J429" s="184" t="s">
        <v>295</v>
      </c>
      <c r="K429" s="184" t="s">
        <v>295</v>
      </c>
      <c r="L429" s="185">
        <v>1</v>
      </c>
      <c r="M429" s="186">
        <v>10287.64</v>
      </c>
      <c r="N429" s="186">
        <v>0</v>
      </c>
      <c r="O429" s="125">
        <f t="shared" si="35"/>
        <v>10287.64</v>
      </c>
      <c r="P429" s="125"/>
      <c r="Q429" s="73">
        <f t="shared" si="37"/>
        <v>1173.819724</v>
      </c>
    </row>
    <row r="430" spans="1:17" ht="14.5" x14ac:dyDescent="0.35">
      <c r="A430" s="184" t="s">
        <v>155</v>
      </c>
      <c r="B430" s="184" t="s">
        <v>405</v>
      </c>
      <c r="C430" s="184" t="s">
        <v>74</v>
      </c>
      <c r="D430" s="185" t="s">
        <v>287</v>
      </c>
      <c r="E430" s="185">
        <v>15402</v>
      </c>
      <c r="F430" s="185" t="s">
        <v>149</v>
      </c>
      <c r="G430" s="184">
        <v>103001</v>
      </c>
      <c r="H430" s="184" t="s">
        <v>113</v>
      </c>
      <c r="I430" s="184" t="s">
        <v>294</v>
      </c>
      <c r="J430" s="184" t="s">
        <v>295</v>
      </c>
      <c r="K430" s="184" t="s">
        <v>295</v>
      </c>
      <c r="L430" s="185">
        <v>1</v>
      </c>
      <c r="M430" s="186">
        <v>19839.25</v>
      </c>
      <c r="N430" s="186">
        <v>0</v>
      </c>
      <c r="O430" s="125">
        <f t="shared" si="35"/>
        <v>19839.25</v>
      </c>
      <c r="P430" s="125"/>
      <c r="Q430" s="73">
        <f t="shared" si="37"/>
        <v>2263.6584250000001</v>
      </c>
    </row>
    <row r="431" spans="1:17" ht="14.5" x14ac:dyDescent="0.35">
      <c r="A431" s="184" t="s">
        <v>155</v>
      </c>
      <c r="B431" s="184" t="s">
        <v>405</v>
      </c>
      <c r="C431" s="184" t="s">
        <v>74</v>
      </c>
      <c r="D431" s="185" t="s">
        <v>287</v>
      </c>
      <c r="E431" s="185">
        <v>15403</v>
      </c>
      <c r="F431" s="185" t="s">
        <v>149</v>
      </c>
      <c r="G431" s="184">
        <v>103001</v>
      </c>
      <c r="H431" s="184" t="s">
        <v>113</v>
      </c>
      <c r="I431" s="184" t="s">
        <v>294</v>
      </c>
      <c r="J431" s="184" t="s">
        <v>349</v>
      </c>
      <c r="K431" s="184" t="s">
        <v>295</v>
      </c>
      <c r="L431" s="185">
        <v>1</v>
      </c>
      <c r="M431" s="186">
        <v>1843.77</v>
      </c>
      <c r="N431" s="186">
        <v>0</v>
      </c>
      <c r="O431" s="125">
        <f t="shared" si="35"/>
        <v>1843.77</v>
      </c>
      <c r="P431" s="125"/>
      <c r="Q431" s="73">
        <f t="shared" si="37"/>
        <v>210.37415700000003</v>
      </c>
    </row>
    <row r="432" spans="1:17" ht="14.5" x14ac:dyDescent="0.35">
      <c r="A432" s="184" t="s">
        <v>155</v>
      </c>
      <c r="B432" s="184" t="s">
        <v>405</v>
      </c>
      <c r="C432" s="184" t="s">
        <v>74</v>
      </c>
      <c r="D432" s="185" t="s">
        <v>287</v>
      </c>
      <c r="E432" s="185">
        <v>15404</v>
      </c>
      <c r="F432" s="185" t="s">
        <v>149</v>
      </c>
      <c r="G432" s="184">
        <v>103001</v>
      </c>
      <c r="H432" s="184" t="s">
        <v>113</v>
      </c>
      <c r="I432" s="184" t="s">
        <v>294</v>
      </c>
      <c r="J432" s="184" t="s">
        <v>347</v>
      </c>
      <c r="K432" s="184" t="s">
        <v>295</v>
      </c>
      <c r="L432" s="185">
        <v>1</v>
      </c>
      <c r="M432" s="186">
        <v>4204.58</v>
      </c>
      <c r="N432" s="186">
        <v>0</v>
      </c>
      <c r="O432" s="125">
        <f t="shared" si="35"/>
        <v>4204.58</v>
      </c>
      <c r="P432" s="125"/>
      <c r="Q432" s="73">
        <f t="shared" si="37"/>
        <v>479.74257800000004</v>
      </c>
    </row>
    <row r="433" spans="1:17" ht="14.5" x14ac:dyDescent="0.35">
      <c r="A433" s="184" t="s">
        <v>155</v>
      </c>
      <c r="B433" s="184" t="s">
        <v>405</v>
      </c>
      <c r="C433" s="184" t="s">
        <v>74</v>
      </c>
      <c r="D433" s="185" t="s">
        <v>287</v>
      </c>
      <c r="E433" s="185">
        <v>15405</v>
      </c>
      <c r="F433" s="185" t="s">
        <v>149</v>
      </c>
      <c r="G433" s="184">
        <v>103062</v>
      </c>
      <c r="H433" s="184" t="s">
        <v>118</v>
      </c>
      <c r="I433" s="184" t="s">
        <v>294</v>
      </c>
      <c r="J433" s="184" t="s">
        <v>295</v>
      </c>
      <c r="K433" s="184" t="s">
        <v>295</v>
      </c>
      <c r="L433" s="185">
        <v>1</v>
      </c>
      <c r="M433" s="186">
        <v>62.72</v>
      </c>
      <c r="N433" s="186">
        <v>0</v>
      </c>
      <c r="O433" s="125">
        <f t="shared" si="35"/>
        <v>62.72</v>
      </c>
      <c r="P433" s="125"/>
      <c r="Q433" s="73">
        <f t="shared" si="37"/>
        <v>7.156352</v>
      </c>
    </row>
    <row r="434" spans="1:17" ht="14.5" x14ac:dyDescent="0.35">
      <c r="A434" s="184" t="s">
        <v>155</v>
      </c>
      <c r="B434" s="184" t="s">
        <v>405</v>
      </c>
      <c r="C434" s="184" t="s">
        <v>74</v>
      </c>
      <c r="D434" s="185" t="s">
        <v>287</v>
      </c>
      <c r="E434" s="185">
        <v>15406</v>
      </c>
      <c r="F434" s="185" t="s">
        <v>149</v>
      </c>
      <c r="G434" s="184">
        <v>103069</v>
      </c>
      <c r="H434" s="184" t="s">
        <v>225</v>
      </c>
      <c r="I434" s="184" t="s">
        <v>294</v>
      </c>
      <c r="J434" s="184" t="s">
        <v>295</v>
      </c>
      <c r="K434" s="184" t="s">
        <v>295</v>
      </c>
      <c r="L434" s="185">
        <v>1</v>
      </c>
      <c r="M434" s="186">
        <v>21147.51</v>
      </c>
      <c r="N434" s="186">
        <v>0</v>
      </c>
      <c r="O434" s="125">
        <f t="shared" si="35"/>
        <v>21147.51</v>
      </c>
      <c r="P434" s="125"/>
      <c r="Q434" s="73">
        <f t="shared" si="37"/>
        <v>2412.9308909999995</v>
      </c>
    </row>
    <row r="435" spans="1:17" ht="14.5" x14ac:dyDescent="0.35">
      <c r="A435" s="184" t="s">
        <v>155</v>
      </c>
      <c r="B435" s="184" t="s">
        <v>405</v>
      </c>
      <c r="C435" s="184" t="s">
        <v>74</v>
      </c>
      <c r="D435" s="185" t="s">
        <v>287</v>
      </c>
      <c r="E435" s="185">
        <v>15407</v>
      </c>
      <c r="F435" s="185" t="s">
        <v>149</v>
      </c>
      <c r="G435" s="184">
        <v>104000</v>
      </c>
      <c r="H435" s="184" t="s">
        <v>114</v>
      </c>
      <c r="I435" s="184" t="s">
        <v>294</v>
      </c>
      <c r="J435" s="184" t="s">
        <v>295</v>
      </c>
      <c r="K435" s="184" t="s">
        <v>295</v>
      </c>
      <c r="L435" s="185">
        <v>1</v>
      </c>
      <c r="M435" s="186">
        <v>21682.86</v>
      </c>
      <c r="N435" s="186">
        <v>76000</v>
      </c>
      <c r="O435" s="125">
        <f t="shared" si="35"/>
        <v>-54317.14</v>
      </c>
      <c r="P435" s="125"/>
      <c r="Q435" s="73">
        <f t="shared" si="37"/>
        <v>2474.014326</v>
      </c>
    </row>
    <row r="436" spans="1:17" ht="14.5" x14ac:dyDescent="0.35">
      <c r="A436" s="184" t="s">
        <v>155</v>
      </c>
      <c r="B436" s="184" t="s">
        <v>405</v>
      </c>
      <c r="C436" s="184" t="s">
        <v>74</v>
      </c>
      <c r="D436" s="185" t="s">
        <v>287</v>
      </c>
      <c r="E436" s="185">
        <v>15408</v>
      </c>
      <c r="F436" s="185" t="s">
        <v>149</v>
      </c>
      <c r="G436" s="184">
        <v>104000</v>
      </c>
      <c r="H436" s="184" t="s">
        <v>114</v>
      </c>
      <c r="I436" s="184" t="s">
        <v>294</v>
      </c>
      <c r="J436" s="184" t="s">
        <v>349</v>
      </c>
      <c r="K436" s="184" t="s">
        <v>295</v>
      </c>
      <c r="L436" s="185">
        <v>1</v>
      </c>
      <c r="M436" s="186">
        <v>145331.75</v>
      </c>
      <c r="N436" s="186">
        <v>223000</v>
      </c>
      <c r="O436" s="125">
        <f t="shared" si="35"/>
        <v>-77668.25</v>
      </c>
      <c r="P436" s="125"/>
      <c r="Q436" s="73">
        <f t="shared" si="37"/>
        <v>16582.352675000002</v>
      </c>
    </row>
    <row r="437" spans="1:17" ht="14.5" x14ac:dyDescent="0.35">
      <c r="A437" s="184" t="s">
        <v>155</v>
      </c>
      <c r="B437" s="184" t="s">
        <v>405</v>
      </c>
      <c r="C437" s="184" t="s">
        <v>74</v>
      </c>
      <c r="D437" s="185" t="s">
        <v>287</v>
      </c>
      <c r="E437" s="185">
        <v>15409</v>
      </c>
      <c r="F437" s="185" t="s">
        <v>149</v>
      </c>
      <c r="G437" s="184">
        <v>104000</v>
      </c>
      <c r="H437" s="184" t="s">
        <v>114</v>
      </c>
      <c r="I437" s="184" t="s">
        <v>294</v>
      </c>
      <c r="J437" s="184" t="s">
        <v>347</v>
      </c>
      <c r="K437" s="184" t="s">
        <v>295</v>
      </c>
      <c r="L437" s="185">
        <v>1</v>
      </c>
      <c r="M437" s="186">
        <v>31454.12</v>
      </c>
      <c r="N437" s="186">
        <v>0</v>
      </c>
      <c r="O437" s="125">
        <f t="shared" si="35"/>
        <v>31454.12</v>
      </c>
      <c r="P437" s="125"/>
      <c r="Q437" s="73">
        <f t="shared" si="37"/>
        <v>3588.9150920000002</v>
      </c>
    </row>
    <row r="438" spans="1:17" ht="14.5" x14ac:dyDescent="0.35">
      <c r="A438" s="184" t="s">
        <v>155</v>
      </c>
      <c r="B438" s="184" t="s">
        <v>405</v>
      </c>
      <c r="C438" s="184" t="s">
        <v>74</v>
      </c>
      <c r="D438" s="185" t="s">
        <v>287</v>
      </c>
      <c r="E438" s="185">
        <v>15410</v>
      </c>
      <c r="F438" s="185" t="s">
        <v>149</v>
      </c>
      <c r="G438" s="184">
        <v>104000</v>
      </c>
      <c r="H438" s="184" t="s">
        <v>114</v>
      </c>
      <c r="I438" s="184" t="s">
        <v>294</v>
      </c>
      <c r="J438" s="184" t="s">
        <v>348</v>
      </c>
      <c r="K438" s="184" t="s">
        <v>295</v>
      </c>
      <c r="L438" s="185">
        <v>1</v>
      </c>
      <c r="M438" s="186">
        <v>128.19999999999999</v>
      </c>
      <c r="N438" s="186">
        <v>0</v>
      </c>
      <c r="O438" s="125">
        <f t="shared" si="35"/>
        <v>128.19999999999999</v>
      </c>
      <c r="P438" s="125"/>
      <c r="Q438" s="73">
        <f t="shared" si="37"/>
        <v>14.62762</v>
      </c>
    </row>
    <row r="439" spans="1:17" ht="14.5" x14ac:dyDescent="0.35">
      <c r="A439" s="184" t="s">
        <v>155</v>
      </c>
      <c r="B439" s="184" t="s">
        <v>405</v>
      </c>
      <c r="C439" s="184" t="s">
        <v>74</v>
      </c>
      <c r="D439" s="185" t="s">
        <v>287</v>
      </c>
      <c r="E439" s="185">
        <v>15411</v>
      </c>
      <c r="F439" s="185" t="s">
        <v>149</v>
      </c>
      <c r="G439" s="184">
        <v>105003</v>
      </c>
      <c r="H439" s="184" t="s">
        <v>317</v>
      </c>
      <c r="I439" s="184" t="s">
        <v>294</v>
      </c>
      <c r="J439" s="184" t="s">
        <v>295</v>
      </c>
      <c r="K439" s="184" t="s">
        <v>295</v>
      </c>
      <c r="L439" s="185">
        <v>1</v>
      </c>
      <c r="M439" s="186">
        <v>181533.3</v>
      </c>
      <c r="N439" s="186">
        <v>0</v>
      </c>
      <c r="O439" s="125">
        <f t="shared" si="35"/>
        <v>181533.3</v>
      </c>
      <c r="P439" s="125"/>
      <c r="Q439" s="73">
        <f t="shared" si="37"/>
        <v>20712.949529999998</v>
      </c>
    </row>
    <row r="440" spans="1:17" ht="14.5" x14ac:dyDescent="0.35">
      <c r="A440" s="184" t="s">
        <v>155</v>
      </c>
      <c r="B440" s="184" t="s">
        <v>405</v>
      </c>
      <c r="C440" s="184" t="s">
        <v>74</v>
      </c>
      <c r="D440" s="185" t="s">
        <v>287</v>
      </c>
      <c r="E440" s="185">
        <v>15412</v>
      </c>
      <c r="F440" s="185" t="s">
        <v>149</v>
      </c>
      <c r="G440" s="184">
        <v>105019</v>
      </c>
      <c r="H440" s="184" t="s">
        <v>115</v>
      </c>
      <c r="I440" s="184" t="s">
        <v>294</v>
      </c>
      <c r="J440" s="184" t="s">
        <v>295</v>
      </c>
      <c r="K440" s="184" t="s">
        <v>295</v>
      </c>
      <c r="L440" s="185">
        <v>1</v>
      </c>
      <c r="M440" s="186">
        <v>484.27</v>
      </c>
      <c r="N440" s="186">
        <v>0</v>
      </c>
      <c r="O440" s="125">
        <f t="shared" si="35"/>
        <v>484.27</v>
      </c>
      <c r="P440" s="125"/>
      <c r="Q440" s="73">
        <f t="shared" si="37"/>
        <v>55.255206999999999</v>
      </c>
    </row>
    <row r="441" spans="1:17" ht="14.5" x14ac:dyDescent="0.35">
      <c r="A441" s="184" t="s">
        <v>155</v>
      </c>
      <c r="B441" s="184" t="s">
        <v>405</v>
      </c>
      <c r="C441" s="184" t="s">
        <v>74</v>
      </c>
      <c r="D441" s="185" t="s">
        <v>287</v>
      </c>
      <c r="E441" s="185">
        <v>15413</v>
      </c>
      <c r="F441" s="185" t="s">
        <v>149</v>
      </c>
      <c r="G441" s="184">
        <v>105098</v>
      </c>
      <c r="H441" s="184" t="s">
        <v>314</v>
      </c>
      <c r="I441" s="184" t="s">
        <v>294</v>
      </c>
      <c r="J441" s="184" t="s">
        <v>391</v>
      </c>
      <c r="K441" s="184" t="s">
        <v>295</v>
      </c>
      <c r="L441" s="185">
        <v>1</v>
      </c>
      <c r="M441" s="186">
        <v>-4392</v>
      </c>
      <c r="N441" s="186">
        <v>0</v>
      </c>
      <c r="O441" s="125">
        <f t="shared" si="35"/>
        <v>-4392</v>
      </c>
      <c r="P441" s="125"/>
      <c r="Q441" s="73">
        <f t="shared" si="37"/>
        <v>-501.12720000000007</v>
      </c>
    </row>
    <row r="442" spans="1:17" ht="14.5" x14ac:dyDescent="0.35">
      <c r="A442" s="184" t="s">
        <v>155</v>
      </c>
      <c r="B442" s="184" t="s">
        <v>405</v>
      </c>
      <c r="C442" s="184" t="s">
        <v>74</v>
      </c>
      <c r="D442" s="185" t="s">
        <v>287</v>
      </c>
      <c r="E442" s="185">
        <v>15414</v>
      </c>
      <c r="F442" s="185" t="s">
        <v>149</v>
      </c>
      <c r="G442" s="184">
        <v>105099</v>
      </c>
      <c r="H442" s="184" t="s">
        <v>107</v>
      </c>
      <c r="I442" s="184" t="s">
        <v>294</v>
      </c>
      <c r="J442" s="184" t="s">
        <v>392</v>
      </c>
      <c r="K442" s="184" t="s">
        <v>295</v>
      </c>
      <c r="L442" s="185">
        <v>1</v>
      </c>
      <c r="M442" s="186">
        <v>4392</v>
      </c>
      <c r="N442" s="186">
        <v>0</v>
      </c>
      <c r="O442" s="125">
        <f t="shared" si="35"/>
        <v>4392</v>
      </c>
      <c r="P442" s="125"/>
      <c r="Q442" s="73">
        <f t="shared" si="37"/>
        <v>501.12720000000007</v>
      </c>
    </row>
    <row r="443" spans="1:17" ht="14.5" x14ac:dyDescent="0.35">
      <c r="A443" s="184" t="s">
        <v>155</v>
      </c>
      <c r="B443" s="184" t="s">
        <v>405</v>
      </c>
      <c r="C443" s="184" t="s">
        <v>74</v>
      </c>
      <c r="D443" s="185" t="s">
        <v>287</v>
      </c>
      <c r="E443" s="185">
        <v>15415</v>
      </c>
      <c r="F443" s="185" t="s">
        <v>149</v>
      </c>
      <c r="G443" s="184">
        <v>107505</v>
      </c>
      <c r="H443" s="184" t="s">
        <v>319</v>
      </c>
      <c r="I443" s="184" t="s">
        <v>294</v>
      </c>
      <c r="J443" s="184" t="s">
        <v>295</v>
      </c>
      <c r="K443" s="184" t="s">
        <v>295</v>
      </c>
      <c r="L443" s="185">
        <v>1</v>
      </c>
      <c r="M443" s="186">
        <v>1896.5</v>
      </c>
      <c r="N443" s="186">
        <v>0</v>
      </c>
      <c r="O443" s="125">
        <f t="shared" si="35"/>
        <v>1896.5</v>
      </c>
      <c r="P443" s="125"/>
      <c r="Q443" s="73">
        <f t="shared" si="37"/>
        <v>216.39065000000002</v>
      </c>
    </row>
    <row r="444" spans="1:17" ht="14.5" x14ac:dyDescent="0.35">
      <c r="A444" s="184" t="s">
        <v>155</v>
      </c>
      <c r="B444" s="184" t="s">
        <v>405</v>
      </c>
      <c r="C444" s="184" t="s">
        <v>74</v>
      </c>
      <c r="D444" s="185" t="s">
        <v>287</v>
      </c>
      <c r="E444" s="185">
        <v>15416</v>
      </c>
      <c r="F444" s="185" t="s">
        <v>149</v>
      </c>
      <c r="G444" s="189">
        <v>109001</v>
      </c>
      <c r="H444" s="184" t="s">
        <v>105</v>
      </c>
      <c r="I444" s="184" t="s">
        <v>294</v>
      </c>
      <c r="J444" s="184" t="s">
        <v>295</v>
      </c>
      <c r="K444" s="184" t="s">
        <v>295</v>
      </c>
      <c r="L444" s="185">
        <v>1</v>
      </c>
      <c r="M444" s="186">
        <v>992062.61</v>
      </c>
      <c r="N444" s="186">
        <v>949000</v>
      </c>
      <c r="O444" s="125">
        <f t="shared" si="35"/>
        <v>43062.609999999986</v>
      </c>
      <c r="P444" s="164">
        <f t="shared" ref="P444:P448" si="38">M444*-1</f>
        <v>-992062.61</v>
      </c>
    </row>
    <row r="445" spans="1:17" ht="14.5" x14ac:dyDescent="0.35">
      <c r="A445" s="184" t="s">
        <v>155</v>
      </c>
      <c r="B445" s="184" t="s">
        <v>405</v>
      </c>
      <c r="C445" s="184" t="s">
        <v>74</v>
      </c>
      <c r="D445" s="185" t="s">
        <v>287</v>
      </c>
      <c r="E445" s="185">
        <v>15417</v>
      </c>
      <c r="F445" s="185" t="s">
        <v>149</v>
      </c>
      <c r="G445" s="189">
        <v>109001</v>
      </c>
      <c r="H445" s="184" t="s">
        <v>105</v>
      </c>
      <c r="I445" s="184" t="s">
        <v>294</v>
      </c>
      <c r="J445" s="184" t="s">
        <v>349</v>
      </c>
      <c r="K445" s="184" t="s">
        <v>295</v>
      </c>
      <c r="L445" s="185">
        <v>1</v>
      </c>
      <c r="M445" s="186">
        <v>10188.15</v>
      </c>
      <c r="N445" s="186">
        <v>10000</v>
      </c>
      <c r="O445" s="125">
        <f t="shared" si="35"/>
        <v>188.14999999999964</v>
      </c>
      <c r="P445" s="164">
        <f t="shared" si="38"/>
        <v>-10188.15</v>
      </c>
    </row>
    <row r="446" spans="1:17" ht="14.5" x14ac:dyDescent="0.35">
      <c r="A446" s="184" t="s">
        <v>155</v>
      </c>
      <c r="B446" s="184" t="s">
        <v>405</v>
      </c>
      <c r="C446" s="184" t="s">
        <v>74</v>
      </c>
      <c r="D446" s="185" t="s">
        <v>287</v>
      </c>
      <c r="E446" s="185">
        <v>15418</v>
      </c>
      <c r="F446" s="185" t="s">
        <v>149</v>
      </c>
      <c r="G446" s="189">
        <v>109001</v>
      </c>
      <c r="H446" s="184" t="s">
        <v>105</v>
      </c>
      <c r="I446" s="184" t="s">
        <v>294</v>
      </c>
      <c r="J446" s="184" t="s">
        <v>350</v>
      </c>
      <c r="K446" s="184" t="s">
        <v>295</v>
      </c>
      <c r="L446" s="185">
        <v>1</v>
      </c>
      <c r="M446" s="186">
        <v>-9.73</v>
      </c>
      <c r="N446" s="186">
        <v>0</v>
      </c>
      <c r="O446" s="125">
        <f t="shared" si="35"/>
        <v>-9.73</v>
      </c>
      <c r="P446" s="164">
        <f t="shared" si="38"/>
        <v>9.73</v>
      </c>
    </row>
    <row r="447" spans="1:17" ht="14.5" x14ac:dyDescent="0.35">
      <c r="A447" s="184" t="s">
        <v>155</v>
      </c>
      <c r="B447" s="184" t="s">
        <v>405</v>
      </c>
      <c r="C447" s="184" t="s">
        <v>74</v>
      </c>
      <c r="D447" s="185" t="s">
        <v>287</v>
      </c>
      <c r="E447" s="185">
        <v>15419</v>
      </c>
      <c r="F447" s="185" t="s">
        <v>149</v>
      </c>
      <c r="G447" s="189">
        <v>109001</v>
      </c>
      <c r="H447" s="184" t="s">
        <v>105</v>
      </c>
      <c r="I447" s="184" t="s">
        <v>294</v>
      </c>
      <c r="J447" s="184" t="s">
        <v>347</v>
      </c>
      <c r="K447" s="184" t="s">
        <v>295</v>
      </c>
      <c r="L447" s="185">
        <v>1</v>
      </c>
      <c r="M447" s="186">
        <v>837.18</v>
      </c>
      <c r="N447" s="186">
        <v>0</v>
      </c>
      <c r="O447" s="125">
        <f t="shared" si="35"/>
        <v>837.18</v>
      </c>
      <c r="P447" s="164">
        <f t="shared" si="38"/>
        <v>-837.18</v>
      </c>
    </row>
    <row r="448" spans="1:17" ht="14.5" x14ac:dyDescent="0.35">
      <c r="A448" s="184" t="s">
        <v>155</v>
      </c>
      <c r="B448" s="184" t="s">
        <v>405</v>
      </c>
      <c r="C448" s="184" t="s">
        <v>74</v>
      </c>
      <c r="D448" s="185" t="s">
        <v>287</v>
      </c>
      <c r="E448" s="185">
        <v>15420</v>
      </c>
      <c r="F448" s="185" t="s">
        <v>149</v>
      </c>
      <c r="G448" s="189">
        <v>109001</v>
      </c>
      <c r="H448" s="184" t="s">
        <v>105</v>
      </c>
      <c r="I448" s="184" t="s">
        <v>294</v>
      </c>
      <c r="J448" s="184" t="s">
        <v>348</v>
      </c>
      <c r="K448" s="184" t="s">
        <v>295</v>
      </c>
      <c r="L448" s="185">
        <v>1</v>
      </c>
      <c r="M448" s="186">
        <v>1196.94</v>
      </c>
      <c r="N448" s="186">
        <v>0</v>
      </c>
      <c r="O448" s="125">
        <f t="shared" si="35"/>
        <v>1196.94</v>
      </c>
      <c r="P448" s="164">
        <f t="shared" si="38"/>
        <v>-1196.94</v>
      </c>
    </row>
    <row r="449" spans="1:17" ht="14.5" x14ac:dyDescent="0.35">
      <c r="A449" s="184" t="s">
        <v>155</v>
      </c>
      <c r="B449" s="184" t="s">
        <v>405</v>
      </c>
      <c r="C449" s="184" t="s">
        <v>74</v>
      </c>
      <c r="D449" s="185" t="s">
        <v>287</v>
      </c>
      <c r="E449" s="185">
        <v>15421</v>
      </c>
      <c r="F449" s="185" t="s">
        <v>149</v>
      </c>
      <c r="G449" s="189">
        <v>109901</v>
      </c>
      <c r="H449" s="184" t="s">
        <v>106</v>
      </c>
      <c r="I449" s="184" t="s">
        <v>294</v>
      </c>
      <c r="J449" s="184" t="s">
        <v>295</v>
      </c>
      <c r="K449" s="184" t="s">
        <v>295</v>
      </c>
      <c r="L449" s="185">
        <v>1</v>
      </c>
      <c r="M449" s="186">
        <v>1486549.53</v>
      </c>
      <c r="N449" s="186">
        <v>1471000</v>
      </c>
      <c r="O449" s="125">
        <f t="shared" si="35"/>
        <v>15549.530000000028</v>
      </c>
      <c r="P449" s="164"/>
    </row>
    <row r="450" spans="1:17" ht="14.5" x14ac:dyDescent="0.35">
      <c r="A450" s="184" t="s">
        <v>155</v>
      </c>
      <c r="B450" s="184" t="s">
        <v>405</v>
      </c>
      <c r="C450" s="184" t="s">
        <v>74</v>
      </c>
      <c r="D450" s="185" t="s">
        <v>287</v>
      </c>
      <c r="E450" s="185">
        <v>15422</v>
      </c>
      <c r="F450" s="185" t="s">
        <v>149</v>
      </c>
      <c r="G450" s="189">
        <v>109901</v>
      </c>
      <c r="H450" s="184" t="s">
        <v>106</v>
      </c>
      <c r="I450" s="184" t="s">
        <v>294</v>
      </c>
      <c r="J450" s="184" t="s">
        <v>349</v>
      </c>
      <c r="K450" s="184" t="s">
        <v>295</v>
      </c>
      <c r="L450" s="185">
        <v>1</v>
      </c>
      <c r="M450" s="186">
        <v>36180.04</v>
      </c>
      <c r="N450" s="186">
        <v>47000</v>
      </c>
      <c r="O450" s="125">
        <f t="shared" si="35"/>
        <v>-10819.96</v>
      </c>
      <c r="P450" s="164"/>
    </row>
    <row r="451" spans="1:17" ht="14.5" x14ac:dyDescent="0.35">
      <c r="A451" s="184" t="s">
        <v>155</v>
      </c>
      <c r="B451" s="184" t="s">
        <v>405</v>
      </c>
      <c r="C451" s="184" t="s">
        <v>74</v>
      </c>
      <c r="D451" s="185" t="s">
        <v>287</v>
      </c>
      <c r="E451" s="185">
        <v>15423</v>
      </c>
      <c r="F451" s="185" t="s">
        <v>149</v>
      </c>
      <c r="G451" s="189">
        <v>109901</v>
      </c>
      <c r="H451" s="184" t="s">
        <v>106</v>
      </c>
      <c r="I451" s="184" t="s">
        <v>294</v>
      </c>
      <c r="J451" s="184" t="s">
        <v>392</v>
      </c>
      <c r="K451" s="184" t="s">
        <v>295</v>
      </c>
      <c r="L451" s="185">
        <v>1</v>
      </c>
      <c r="M451" s="186">
        <v>619.32000000000005</v>
      </c>
      <c r="N451" s="186">
        <v>0</v>
      </c>
      <c r="O451" s="125">
        <f t="shared" si="35"/>
        <v>619.32000000000005</v>
      </c>
      <c r="P451" s="164"/>
    </row>
    <row r="452" spans="1:17" ht="14.5" x14ac:dyDescent="0.35">
      <c r="A452" s="184" t="s">
        <v>155</v>
      </c>
      <c r="B452" s="184" t="s">
        <v>405</v>
      </c>
      <c r="C452" s="184" t="s">
        <v>74</v>
      </c>
      <c r="D452" s="185" t="s">
        <v>287</v>
      </c>
      <c r="E452" s="185">
        <v>15424</v>
      </c>
      <c r="F452" s="185" t="s">
        <v>149</v>
      </c>
      <c r="G452" s="189">
        <v>109901</v>
      </c>
      <c r="H452" s="184" t="s">
        <v>106</v>
      </c>
      <c r="I452" s="184" t="s">
        <v>294</v>
      </c>
      <c r="J452" s="184" t="s">
        <v>350</v>
      </c>
      <c r="K452" s="184" t="s">
        <v>295</v>
      </c>
      <c r="L452" s="185">
        <v>1</v>
      </c>
      <c r="M452" s="186">
        <v>-1.37</v>
      </c>
      <c r="N452" s="186">
        <v>0</v>
      </c>
      <c r="O452" s="125">
        <f t="shared" si="35"/>
        <v>-1.37</v>
      </c>
      <c r="P452" s="164"/>
    </row>
    <row r="453" spans="1:17" ht="14.5" x14ac:dyDescent="0.35">
      <c r="A453" s="184" t="s">
        <v>155</v>
      </c>
      <c r="B453" s="184" t="s">
        <v>405</v>
      </c>
      <c r="C453" s="184" t="s">
        <v>74</v>
      </c>
      <c r="D453" s="185" t="s">
        <v>287</v>
      </c>
      <c r="E453" s="185">
        <v>15425</v>
      </c>
      <c r="F453" s="185" t="s">
        <v>149</v>
      </c>
      <c r="G453" s="189">
        <v>109901</v>
      </c>
      <c r="H453" s="184" t="s">
        <v>106</v>
      </c>
      <c r="I453" s="184" t="s">
        <v>294</v>
      </c>
      <c r="J453" s="184" t="s">
        <v>347</v>
      </c>
      <c r="K453" s="184" t="s">
        <v>295</v>
      </c>
      <c r="L453" s="185">
        <v>1</v>
      </c>
      <c r="M453" s="186">
        <v>5722.31</v>
      </c>
      <c r="N453" s="186">
        <v>0</v>
      </c>
      <c r="O453" s="125">
        <f t="shared" si="35"/>
        <v>5722.31</v>
      </c>
      <c r="P453" s="125"/>
    </row>
    <row r="454" spans="1:17" ht="14.5" x14ac:dyDescent="0.35">
      <c r="A454" s="184" t="s">
        <v>155</v>
      </c>
      <c r="B454" s="184" t="s">
        <v>405</v>
      </c>
      <c r="C454" s="184" t="s">
        <v>74</v>
      </c>
      <c r="D454" s="185" t="s">
        <v>287</v>
      </c>
      <c r="E454" s="185">
        <v>15426</v>
      </c>
      <c r="F454" s="185" t="s">
        <v>149</v>
      </c>
      <c r="G454" s="189">
        <v>109901</v>
      </c>
      <c r="H454" s="184" t="s">
        <v>106</v>
      </c>
      <c r="I454" s="184" t="s">
        <v>294</v>
      </c>
      <c r="J454" s="184" t="s">
        <v>348</v>
      </c>
      <c r="K454" s="184" t="s">
        <v>295</v>
      </c>
      <c r="L454" s="185">
        <v>1</v>
      </c>
      <c r="M454" s="186">
        <v>1859.99</v>
      </c>
      <c r="N454" s="186">
        <v>0</v>
      </c>
      <c r="O454" s="125">
        <f t="shared" si="35"/>
        <v>1859.99</v>
      </c>
      <c r="P454" s="125"/>
    </row>
    <row r="455" spans="1:17" ht="14.5" x14ac:dyDescent="0.35">
      <c r="A455" s="184" t="s">
        <v>155</v>
      </c>
      <c r="B455" s="184" t="s">
        <v>406</v>
      </c>
      <c r="C455" s="184" t="s">
        <v>174</v>
      </c>
      <c r="D455" s="185" t="s">
        <v>287</v>
      </c>
      <c r="E455" s="185">
        <v>15527</v>
      </c>
      <c r="F455" s="185" t="s">
        <v>149</v>
      </c>
      <c r="G455" s="184">
        <v>101001</v>
      </c>
      <c r="H455" s="184" t="s">
        <v>108</v>
      </c>
      <c r="I455" s="184" t="s">
        <v>294</v>
      </c>
      <c r="J455" s="184" t="s">
        <v>295</v>
      </c>
      <c r="K455" s="184" t="s">
        <v>295</v>
      </c>
      <c r="L455" s="185">
        <v>1</v>
      </c>
      <c r="M455" s="186">
        <v>6746120.2999999998</v>
      </c>
      <c r="N455" s="186">
        <v>7269000</v>
      </c>
      <c r="O455" s="125">
        <f t="shared" si="35"/>
        <v>-522879.70000000019</v>
      </c>
      <c r="P455" s="125"/>
      <c r="Q455" s="73">
        <f t="shared" ref="Q455:Q474" si="39">M455*$Q$7*1.141</f>
        <v>769732.32623000001</v>
      </c>
    </row>
    <row r="456" spans="1:17" ht="14.5" x14ac:dyDescent="0.35">
      <c r="A456" s="184" t="s">
        <v>155</v>
      </c>
      <c r="B456" s="184" t="s">
        <v>406</v>
      </c>
      <c r="C456" s="184" t="s">
        <v>174</v>
      </c>
      <c r="D456" s="185" t="s">
        <v>287</v>
      </c>
      <c r="E456" s="185">
        <v>15528</v>
      </c>
      <c r="F456" s="185" t="s">
        <v>149</v>
      </c>
      <c r="G456" s="184">
        <v>101002</v>
      </c>
      <c r="H456" s="184" t="s">
        <v>109</v>
      </c>
      <c r="I456" s="184" t="s">
        <v>294</v>
      </c>
      <c r="J456" s="184" t="s">
        <v>349</v>
      </c>
      <c r="K456" s="184" t="s">
        <v>295</v>
      </c>
      <c r="L456" s="185">
        <v>1</v>
      </c>
      <c r="M456" s="186">
        <v>0</v>
      </c>
      <c r="N456" s="186">
        <v>64000</v>
      </c>
      <c r="O456" s="125">
        <f t="shared" ref="O456:O519" si="40">M456-N456</f>
        <v>-64000</v>
      </c>
      <c r="P456" s="125"/>
      <c r="Q456" s="73">
        <f t="shared" si="39"/>
        <v>0</v>
      </c>
    </row>
    <row r="457" spans="1:17" ht="14.5" x14ac:dyDescent="0.35">
      <c r="A457" s="184" t="s">
        <v>155</v>
      </c>
      <c r="B457" s="184" t="s">
        <v>406</v>
      </c>
      <c r="C457" s="184" t="s">
        <v>174</v>
      </c>
      <c r="D457" s="185" t="s">
        <v>287</v>
      </c>
      <c r="E457" s="185">
        <v>15529</v>
      </c>
      <c r="F457" s="185" t="s">
        <v>149</v>
      </c>
      <c r="G457" s="184">
        <v>101039</v>
      </c>
      <c r="H457" s="184" t="s">
        <v>111</v>
      </c>
      <c r="I457" s="184" t="s">
        <v>294</v>
      </c>
      <c r="J457" s="184" t="s">
        <v>295</v>
      </c>
      <c r="K457" s="184" t="s">
        <v>295</v>
      </c>
      <c r="L457" s="185">
        <v>1</v>
      </c>
      <c r="M457" s="186">
        <v>199317.67</v>
      </c>
      <c r="N457" s="186">
        <v>6000</v>
      </c>
      <c r="O457" s="125">
        <f t="shared" si="40"/>
        <v>193317.67</v>
      </c>
      <c r="P457" s="125"/>
      <c r="Q457" s="73">
        <f t="shared" si="39"/>
        <v>22742.146147000003</v>
      </c>
    </row>
    <row r="458" spans="1:17" ht="14.5" x14ac:dyDescent="0.35">
      <c r="A458" s="184" t="s">
        <v>155</v>
      </c>
      <c r="B458" s="184" t="s">
        <v>406</v>
      </c>
      <c r="C458" s="184" t="s">
        <v>174</v>
      </c>
      <c r="D458" s="185" t="s">
        <v>287</v>
      </c>
      <c r="E458" s="185">
        <v>15530</v>
      </c>
      <c r="F458" s="185" t="s">
        <v>149</v>
      </c>
      <c r="G458" s="184">
        <v>102002</v>
      </c>
      <c r="H458" s="184" t="s">
        <v>112</v>
      </c>
      <c r="I458" s="184" t="s">
        <v>294</v>
      </c>
      <c r="J458" s="184" t="s">
        <v>295</v>
      </c>
      <c r="K458" s="184" t="s">
        <v>295</v>
      </c>
      <c r="L458" s="185">
        <v>1</v>
      </c>
      <c r="M458" s="186">
        <v>14370.98</v>
      </c>
      <c r="N458" s="186">
        <v>0</v>
      </c>
      <c r="O458" s="125">
        <f t="shared" si="40"/>
        <v>14370.98</v>
      </c>
      <c r="P458" s="125"/>
      <c r="Q458" s="73">
        <f t="shared" si="39"/>
        <v>1639.728818</v>
      </c>
    </row>
    <row r="459" spans="1:17" ht="14.5" x14ac:dyDescent="0.35">
      <c r="A459" s="184" t="s">
        <v>155</v>
      </c>
      <c r="B459" s="184" t="s">
        <v>406</v>
      </c>
      <c r="C459" s="184" t="s">
        <v>174</v>
      </c>
      <c r="D459" s="185" t="s">
        <v>287</v>
      </c>
      <c r="E459" s="185">
        <v>15531</v>
      </c>
      <c r="F459" s="185" t="s">
        <v>149</v>
      </c>
      <c r="G459" s="184">
        <v>102002</v>
      </c>
      <c r="H459" s="184" t="s">
        <v>112</v>
      </c>
      <c r="I459" s="184" t="s">
        <v>294</v>
      </c>
      <c r="J459" s="184" t="s">
        <v>347</v>
      </c>
      <c r="K459" s="184" t="s">
        <v>295</v>
      </c>
      <c r="L459" s="185">
        <v>1</v>
      </c>
      <c r="M459" s="186">
        <v>15326.97</v>
      </c>
      <c r="N459" s="186">
        <v>0</v>
      </c>
      <c r="O459" s="125">
        <f t="shared" si="40"/>
        <v>15326.97</v>
      </c>
      <c r="P459" s="125"/>
      <c r="Q459" s="73">
        <f t="shared" si="39"/>
        <v>1748.8072770000001</v>
      </c>
    </row>
    <row r="460" spans="1:17" ht="14.5" x14ac:dyDescent="0.35">
      <c r="A460" s="184" t="s">
        <v>155</v>
      </c>
      <c r="B460" s="184" t="s">
        <v>406</v>
      </c>
      <c r="C460" s="184" t="s">
        <v>174</v>
      </c>
      <c r="D460" s="185" t="s">
        <v>287</v>
      </c>
      <c r="E460" s="185">
        <v>15532</v>
      </c>
      <c r="F460" s="185" t="s">
        <v>149</v>
      </c>
      <c r="G460" s="184">
        <v>102003</v>
      </c>
      <c r="H460" s="184" t="s">
        <v>110</v>
      </c>
      <c r="I460" s="184" t="s">
        <v>294</v>
      </c>
      <c r="J460" s="184" t="s">
        <v>295</v>
      </c>
      <c r="K460" s="184" t="s">
        <v>295</v>
      </c>
      <c r="L460" s="185">
        <v>1</v>
      </c>
      <c r="M460" s="186">
        <v>927765.63</v>
      </c>
      <c r="N460" s="186">
        <v>157000</v>
      </c>
      <c r="O460" s="125">
        <f t="shared" si="40"/>
        <v>770765.63</v>
      </c>
      <c r="P460" s="125"/>
      <c r="Q460" s="73">
        <f t="shared" si="39"/>
        <v>105858.05838300001</v>
      </c>
    </row>
    <row r="461" spans="1:17" ht="14.5" x14ac:dyDescent="0.35">
      <c r="A461" s="184" t="s">
        <v>155</v>
      </c>
      <c r="B461" s="184" t="s">
        <v>406</v>
      </c>
      <c r="C461" s="184" t="s">
        <v>174</v>
      </c>
      <c r="D461" s="185" t="s">
        <v>287</v>
      </c>
      <c r="E461" s="185">
        <v>15533</v>
      </c>
      <c r="F461" s="185" t="s">
        <v>149</v>
      </c>
      <c r="G461" s="184">
        <v>102003</v>
      </c>
      <c r="H461" s="184" t="s">
        <v>110</v>
      </c>
      <c r="I461" s="184" t="s">
        <v>294</v>
      </c>
      <c r="J461" s="184" t="s">
        <v>349</v>
      </c>
      <c r="K461" s="184" t="s">
        <v>295</v>
      </c>
      <c r="L461" s="185">
        <v>1</v>
      </c>
      <c r="M461" s="186">
        <v>64227.4</v>
      </c>
      <c r="N461" s="186">
        <v>0</v>
      </c>
      <c r="O461" s="125">
        <f t="shared" si="40"/>
        <v>64227.4</v>
      </c>
      <c r="P461" s="125"/>
      <c r="Q461" s="73">
        <f t="shared" si="39"/>
        <v>7328.346340000001</v>
      </c>
    </row>
    <row r="462" spans="1:17" ht="14.5" x14ac:dyDescent="0.35">
      <c r="A462" s="184" t="s">
        <v>155</v>
      </c>
      <c r="B462" s="184" t="s">
        <v>406</v>
      </c>
      <c r="C462" s="184" t="s">
        <v>174</v>
      </c>
      <c r="D462" s="185" t="s">
        <v>287</v>
      </c>
      <c r="E462" s="185">
        <v>15534</v>
      </c>
      <c r="F462" s="185" t="s">
        <v>149</v>
      </c>
      <c r="G462" s="184">
        <v>102003</v>
      </c>
      <c r="H462" s="184" t="s">
        <v>110</v>
      </c>
      <c r="I462" s="184" t="s">
        <v>294</v>
      </c>
      <c r="J462" s="184" t="s">
        <v>347</v>
      </c>
      <c r="K462" s="184" t="s">
        <v>295</v>
      </c>
      <c r="L462" s="185">
        <v>1</v>
      </c>
      <c r="M462" s="186">
        <v>24091.51</v>
      </c>
      <c r="N462" s="186">
        <v>0</v>
      </c>
      <c r="O462" s="125">
        <f t="shared" si="40"/>
        <v>24091.51</v>
      </c>
      <c r="P462" s="125"/>
      <c r="Q462" s="73">
        <f t="shared" si="39"/>
        <v>2748.8412909999997</v>
      </c>
    </row>
    <row r="463" spans="1:17" ht="14.5" x14ac:dyDescent="0.35">
      <c r="A463" s="184" t="s">
        <v>155</v>
      </c>
      <c r="B463" s="184" t="s">
        <v>406</v>
      </c>
      <c r="C463" s="184" t="s">
        <v>174</v>
      </c>
      <c r="D463" s="185" t="s">
        <v>287</v>
      </c>
      <c r="E463" s="185">
        <v>15535</v>
      </c>
      <c r="F463" s="185" t="s">
        <v>149</v>
      </c>
      <c r="G463" s="184">
        <v>102005</v>
      </c>
      <c r="H463" s="184" t="s">
        <v>116</v>
      </c>
      <c r="I463" s="184" t="s">
        <v>294</v>
      </c>
      <c r="J463" s="184" t="s">
        <v>295</v>
      </c>
      <c r="K463" s="184" t="s">
        <v>295</v>
      </c>
      <c r="L463" s="185">
        <v>1</v>
      </c>
      <c r="M463" s="186">
        <v>27775</v>
      </c>
      <c r="N463" s="186">
        <v>24000</v>
      </c>
      <c r="O463" s="125">
        <f t="shared" si="40"/>
        <v>3775</v>
      </c>
      <c r="P463" s="125"/>
      <c r="Q463" s="73">
        <f t="shared" si="39"/>
        <v>3169.1275000000001</v>
      </c>
    </row>
    <row r="464" spans="1:17" ht="14.5" x14ac:dyDescent="0.35">
      <c r="A464" s="184" t="s">
        <v>155</v>
      </c>
      <c r="B464" s="184" t="s">
        <v>406</v>
      </c>
      <c r="C464" s="184" t="s">
        <v>174</v>
      </c>
      <c r="D464" s="185" t="s">
        <v>287</v>
      </c>
      <c r="E464" s="185">
        <v>15536</v>
      </c>
      <c r="F464" s="185" t="s">
        <v>149</v>
      </c>
      <c r="G464" s="184">
        <v>102062</v>
      </c>
      <c r="H464" s="184" t="s">
        <v>117</v>
      </c>
      <c r="I464" s="184" t="s">
        <v>294</v>
      </c>
      <c r="J464" s="184" t="s">
        <v>295</v>
      </c>
      <c r="K464" s="184" t="s">
        <v>295</v>
      </c>
      <c r="L464" s="185">
        <v>1</v>
      </c>
      <c r="M464" s="186">
        <v>108.18</v>
      </c>
      <c r="N464" s="186">
        <v>0</v>
      </c>
      <c r="O464" s="125">
        <f t="shared" si="40"/>
        <v>108.18</v>
      </c>
      <c r="P464" s="125"/>
      <c r="Q464" s="73">
        <f t="shared" si="39"/>
        <v>12.343338000000001</v>
      </c>
    </row>
    <row r="465" spans="1:17" ht="14.5" x14ac:dyDescent="0.35">
      <c r="A465" s="184" t="s">
        <v>155</v>
      </c>
      <c r="B465" s="184" t="s">
        <v>406</v>
      </c>
      <c r="C465" s="184" t="s">
        <v>174</v>
      </c>
      <c r="D465" s="185" t="s">
        <v>287</v>
      </c>
      <c r="E465" s="185">
        <v>15537</v>
      </c>
      <c r="F465" s="185" t="s">
        <v>149</v>
      </c>
      <c r="G465" s="184">
        <v>103001</v>
      </c>
      <c r="H465" s="184" t="s">
        <v>113</v>
      </c>
      <c r="I465" s="184" t="s">
        <v>294</v>
      </c>
      <c r="J465" s="184" t="s">
        <v>295</v>
      </c>
      <c r="K465" s="184" t="s">
        <v>295</v>
      </c>
      <c r="L465" s="185">
        <v>1</v>
      </c>
      <c r="M465" s="186">
        <v>36894.559999999998</v>
      </c>
      <c r="N465" s="186">
        <v>0</v>
      </c>
      <c r="O465" s="125">
        <f t="shared" si="40"/>
        <v>36894.559999999998</v>
      </c>
      <c r="P465" s="125"/>
      <c r="Q465" s="73">
        <f t="shared" si="39"/>
        <v>4209.669296</v>
      </c>
    </row>
    <row r="466" spans="1:17" ht="14.5" x14ac:dyDescent="0.35">
      <c r="A466" s="184" t="s">
        <v>155</v>
      </c>
      <c r="B466" s="184" t="s">
        <v>406</v>
      </c>
      <c r="C466" s="184" t="s">
        <v>174</v>
      </c>
      <c r="D466" s="185" t="s">
        <v>287</v>
      </c>
      <c r="E466" s="185">
        <v>15538</v>
      </c>
      <c r="F466" s="185" t="s">
        <v>149</v>
      </c>
      <c r="G466" s="184">
        <v>103062</v>
      </c>
      <c r="H466" s="184" t="s">
        <v>118</v>
      </c>
      <c r="I466" s="184" t="s">
        <v>294</v>
      </c>
      <c r="J466" s="184" t="s">
        <v>295</v>
      </c>
      <c r="K466" s="184" t="s">
        <v>295</v>
      </c>
      <c r="L466" s="185">
        <v>1</v>
      </c>
      <c r="M466" s="186">
        <v>1895.04</v>
      </c>
      <c r="N466" s="186">
        <v>0</v>
      </c>
      <c r="O466" s="125">
        <f t="shared" si="40"/>
        <v>1895.04</v>
      </c>
      <c r="P466" s="125"/>
      <c r="Q466" s="73">
        <f t="shared" si="39"/>
        <v>216.22406400000003</v>
      </c>
    </row>
    <row r="467" spans="1:17" ht="14.5" x14ac:dyDescent="0.35">
      <c r="A467" s="184" t="s">
        <v>155</v>
      </c>
      <c r="B467" s="184" t="s">
        <v>406</v>
      </c>
      <c r="C467" s="184" t="s">
        <v>174</v>
      </c>
      <c r="D467" s="185" t="s">
        <v>287</v>
      </c>
      <c r="E467" s="185">
        <v>15539</v>
      </c>
      <c r="F467" s="185" t="s">
        <v>149</v>
      </c>
      <c r="G467" s="184">
        <v>103069</v>
      </c>
      <c r="H467" s="184" t="s">
        <v>225</v>
      </c>
      <c r="I467" s="184" t="s">
        <v>294</v>
      </c>
      <c r="J467" s="184" t="s">
        <v>295</v>
      </c>
      <c r="K467" s="184" t="s">
        <v>295</v>
      </c>
      <c r="L467" s="185">
        <v>1</v>
      </c>
      <c r="M467" s="186">
        <v>12289.88</v>
      </c>
      <c r="N467" s="186">
        <v>0</v>
      </c>
      <c r="O467" s="125">
        <f t="shared" si="40"/>
        <v>12289.88</v>
      </c>
      <c r="P467" s="125"/>
      <c r="Q467" s="73">
        <f t="shared" si="39"/>
        <v>1402.275308</v>
      </c>
    </row>
    <row r="468" spans="1:17" ht="14.5" x14ac:dyDescent="0.35">
      <c r="A468" s="184" t="s">
        <v>155</v>
      </c>
      <c r="B468" s="184" t="s">
        <v>406</v>
      </c>
      <c r="C468" s="184" t="s">
        <v>174</v>
      </c>
      <c r="D468" s="185" t="s">
        <v>287</v>
      </c>
      <c r="E468" s="185">
        <v>15540</v>
      </c>
      <c r="F468" s="185" t="s">
        <v>149</v>
      </c>
      <c r="G468" s="184">
        <v>104000</v>
      </c>
      <c r="H468" s="184" t="s">
        <v>114</v>
      </c>
      <c r="I468" s="184" t="s">
        <v>294</v>
      </c>
      <c r="J468" s="184" t="s">
        <v>295</v>
      </c>
      <c r="K468" s="184" t="s">
        <v>295</v>
      </c>
      <c r="L468" s="185">
        <v>1</v>
      </c>
      <c r="M468" s="186">
        <v>20020.919999999998</v>
      </c>
      <c r="N468" s="186">
        <v>54000</v>
      </c>
      <c r="O468" s="125">
        <f t="shared" si="40"/>
        <v>-33979.08</v>
      </c>
      <c r="P468" s="125"/>
      <c r="Q468" s="73">
        <f t="shared" si="39"/>
        <v>2284.3869719999998</v>
      </c>
    </row>
    <row r="469" spans="1:17" ht="14.5" x14ac:dyDescent="0.35">
      <c r="A469" s="184" t="s">
        <v>155</v>
      </c>
      <c r="B469" s="184" t="s">
        <v>406</v>
      </c>
      <c r="C469" s="184" t="s">
        <v>174</v>
      </c>
      <c r="D469" s="185" t="s">
        <v>287</v>
      </c>
      <c r="E469" s="185">
        <v>15541</v>
      </c>
      <c r="F469" s="185" t="s">
        <v>149</v>
      </c>
      <c r="G469" s="184">
        <v>104000</v>
      </c>
      <c r="H469" s="184" t="s">
        <v>114</v>
      </c>
      <c r="I469" s="184" t="s">
        <v>294</v>
      </c>
      <c r="J469" s="184" t="s">
        <v>349</v>
      </c>
      <c r="K469" s="184" t="s">
        <v>295</v>
      </c>
      <c r="L469" s="185">
        <v>1</v>
      </c>
      <c r="M469" s="186">
        <v>25472.68</v>
      </c>
      <c r="N469" s="186">
        <v>25000</v>
      </c>
      <c r="O469" s="125">
        <f t="shared" si="40"/>
        <v>472.68000000000029</v>
      </c>
      <c r="P469" s="125"/>
      <c r="Q469" s="73">
        <f t="shared" si="39"/>
        <v>2906.4327880000001</v>
      </c>
    </row>
    <row r="470" spans="1:17" ht="14.5" x14ac:dyDescent="0.35">
      <c r="A470" s="184" t="s">
        <v>155</v>
      </c>
      <c r="B470" s="184" t="s">
        <v>406</v>
      </c>
      <c r="C470" s="184" t="s">
        <v>174</v>
      </c>
      <c r="D470" s="185" t="s">
        <v>287</v>
      </c>
      <c r="E470" s="185">
        <v>15542</v>
      </c>
      <c r="F470" s="185" t="s">
        <v>149</v>
      </c>
      <c r="G470" s="184">
        <v>105003</v>
      </c>
      <c r="H470" s="184" t="s">
        <v>317</v>
      </c>
      <c r="I470" s="184" t="s">
        <v>294</v>
      </c>
      <c r="J470" s="184" t="s">
        <v>295</v>
      </c>
      <c r="K470" s="184" t="s">
        <v>295</v>
      </c>
      <c r="L470" s="185">
        <v>1</v>
      </c>
      <c r="M470" s="186">
        <v>196469.33</v>
      </c>
      <c r="N470" s="186">
        <v>0</v>
      </c>
      <c r="O470" s="125">
        <f t="shared" si="40"/>
        <v>196469.33</v>
      </c>
      <c r="P470" s="125"/>
      <c r="Q470" s="73">
        <f t="shared" si="39"/>
        <v>22417.150552999999</v>
      </c>
    </row>
    <row r="471" spans="1:17" ht="14.5" x14ac:dyDescent="0.35">
      <c r="A471" s="184" t="s">
        <v>155</v>
      </c>
      <c r="B471" s="184" t="s">
        <v>406</v>
      </c>
      <c r="C471" s="184" t="s">
        <v>174</v>
      </c>
      <c r="D471" s="185" t="s">
        <v>287</v>
      </c>
      <c r="E471" s="185">
        <v>15543</v>
      </c>
      <c r="F471" s="185" t="s">
        <v>149</v>
      </c>
      <c r="G471" s="184">
        <v>105019</v>
      </c>
      <c r="H471" s="184" t="s">
        <v>115</v>
      </c>
      <c r="I471" s="184" t="s">
        <v>294</v>
      </c>
      <c r="J471" s="184" t="s">
        <v>295</v>
      </c>
      <c r="K471" s="184" t="s">
        <v>295</v>
      </c>
      <c r="L471" s="185">
        <v>1</v>
      </c>
      <c r="M471" s="186">
        <v>1037.54</v>
      </c>
      <c r="N471" s="186">
        <v>0</v>
      </c>
      <c r="O471" s="125">
        <f t="shared" si="40"/>
        <v>1037.54</v>
      </c>
      <c r="P471" s="125"/>
      <c r="Q471" s="73">
        <f t="shared" si="39"/>
        <v>118.38331400000001</v>
      </c>
    </row>
    <row r="472" spans="1:17" ht="14.5" x14ac:dyDescent="0.35">
      <c r="A472" s="184" t="s">
        <v>155</v>
      </c>
      <c r="B472" s="184" t="s">
        <v>406</v>
      </c>
      <c r="C472" s="184" t="s">
        <v>174</v>
      </c>
      <c r="D472" s="185" t="s">
        <v>287</v>
      </c>
      <c r="E472" s="185">
        <v>15544</v>
      </c>
      <c r="F472" s="185" t="s">
        <v>149</v>
      </c>
      <c r="G472" s="184">
        <v>105019</v>
      </c>
      <c r="H472" s="184" t="s">
        <v>115</v>
      </c>
      <c r="I472" s="184" t="s">
        <v>294</v>
      </c>
      <c r="J472" s="184" t="s">
        <v>347</v>
      </c>
      <c r="K472" s="184" t="s">
        <v>295</v>
      </c>
      <c r="L472" s="185">
        <v>1</v>
      </c>
      <c r="M472" s="186">
        <v>46.64</v>
      </c>
      <c r="N472" s="186">
        <v>0</v>
      </c>
      <c r="O472" s="125">
        <f t="shared" si="40"/>
        <v>46.64</v>
      </c>
      <c r="P472" s="125"/>
      <c r="Q472" s="73">
        <f t="shared" si="39"/>
        <v>5.3216240000000008</v>
      </c>
    </row>
    <row r="473" spans="1:17" ht="14.5" x14ac:dyDescent="0.35">
      <c r="A473" s="184" t="s">
        <v>155</v>
      </c>
      <c r="B473" s="184" t="s">
        <v>406</v>
      </c>
      <c r="C473" s="184" t="s">
        <v>174</v>
      </c>
      <c r="D473" s="185" t="s">
        <v>287</v>
      </c>
      <c r="E473" s="185">
        <v>15545</v>
      </c>
      <c r="F473" s="185" t="s">
        <v>149</v>
      </c>
      <c r="G473" s="184">
        <v>105098</v>
      </c>
      <c r="H473" s="184" t="s">
        <v>314</v>
      </c>
      <c r="I473" s="184" t="s">
        <v>294</v>
      </c>
      <c r="J473" s="184" t="s">
        <v>391</v>
      </c>
      <c r="K473" s="184" t="s">
        <v>295</v>
      </c>
      <c r="L473" s="185">
        <v>1</v>
      </c>
      <c r="M473" s="186">
        <v>-4392</v>
      </c>
      <c r="N473" s="186">
        <v>0</v>
      </c>
      <c r="O473" s="125">
        <f t="shared" si="40"/>
        <v>-4392</v>
      </c>
      <c r="P473" s="125"/>
      <c r="Q473" s="73">
        <f t="shared" si="39"/>
        <v>-501.12720000000007</v>
      </c>
    </row>
    <row r="474" spans="1:17" ht="14.5" x14ac:dyDescent="0.35">
      <c r="A474" s="184" t="s">
        <v>155</v>
      </c>
      <c r="B474" s="184" t="s">
        <v>406</v>
      </c>
      <c r="C474" s="184" t="s">
        <v>174</v>
      </c>
      <c r="D474" s="185" t="s">
        <v>287</v>
      </c>
      <c r="E474" s="185">
        <v>15546</v>
      </c>
      <c r="F474" s="185" t="s">
        <v>149</v>
      </c>
      <c r="G474" s="184">
        <v>105099</v>
      </c>
      <c r="H474" s="184" t="s">
        <v>107</v>
      </c>
      <c r="I474" s="184" t="s">
        <v>294</v>
      </c>
      <c r="J474" s="184" t="s">
        <v>392</v>
      </c>
      <c r="K474" s="184" t="s">
        <v>295</v>
      </c>
      <c r="L474" s="185">
        <v>1</v>
      </c>
      <c r="M474" s="186">
        <v>4392</v>
      </c>
      <c r="N474" s="186">
        <v>0</v>
      </c>
      <c r="O474" s="125">
        <f t="shared" si="40"/>
        <v>4392</v>
      </c>
      <c r="P474" s="125"/>
      <c r="Q474" s="73">
        <f t="shared" si="39"/>
        <v>501.12720000000007</v>
      </c>
    </row>
    <row r="475" spans="1:17" ht="14.5" x14ac:dyDescent="0.35">
      <c r="A475" s="184" t="s">
        <v>155</v>
      </c>
      <c r="B475" s="184" t="s">
        <v>406</v>
      </c>
      <c r="C475" s="184" t="s">
        <v>174</v>
      </c>
      <c r="D475" s="185" t="s">
        <v>287</v>
      </c>
      <c r="E475" s="185">
        <v>15547</v>
      </c>
      <c r="F475" s="185" t="s">
        <v>149</v>
      </c>
      <c r="G475" s="189">
        <v>109001</v>
      </c>
      <c r="H475" s="184" t="s">
        <v>105</v>
      </c>
      <c r="I475" s="184" t="s">
        <v>294</v>
      </c>
      <c r="J475" s="184" t="s">
        <v>295</v>
      </c>
      <c r="K475" s="184" t="s">
        <v>295</v>
      </c>
      <c r="L475" s="185">
        <v>1</v>
      </c>
      <c r="M475" s="186">
        <v>808664.6</v>
      </c>
      <c r="N475" s="186">
        <v>751000</v>
      </c>
      <c r="O475" s="125">
        <f t="shared" si="40"/>
        <v>57664.599999999977</v>
      </c>
      <c r="P475" s="164">
        <f t="shared" ref="P475:P477" si="41">M475*-1</f>
        <v>-808664.6</v>
      </c>
    </row>
    <row r="476" spans="1:17" ht="14.5" x14ac:dyDescent="0.35">
      <c r="A476" s="184" t="s">
        <v>155</v>
      </c>
      <c r="B476" s="184" t="s">
        <v>406</v>
      </c>
      <c r="C476" s="184" t="s">
        <v>174</v>
      </c>
      <c r="D476" s="185" t="s">
        <v>287</v>
      </c>
      <c r="E476" s="185">
        <v>15548</v>
      </c>
      <c r="F476" s="185" t="s">
        <v>149</v>
      </c>
      <c r="G476" s="189">
        <v>109001</v>
      </c>
      <c r="H476" s="184" t="s">
        <v>105</v>
      </c>
      <c r="I476" s="184" t="s">
        <v>294</v>
      </c>
      <c r="J476" s="184" t="s">
        <v>349</v>
      </c>
      <c r="K476" s="184" t="s">
        <v>295</v>
      </c>
      <c r="L476" s="185">
        <v>1</v>
      </c>
      <c r="M476" s="186">
        <v>6664.88</v>
      </c>
      <c r="N476" s="186">
        <v>7000</v>
      </c>
      <c r="O476" s="125">
        <f t="shared" si="40"/>
        <v>-335.11999999999989</v>
      </c>
      <c r="P476" s="164">
        <f t="shared" si="41"/>
        <v>-6664.88</v>
      </c>
    </row>
    <row r="477" spans="1:17" ht="14.5" x14ac:dyDescent="0.35">
      <c r="A477" s="184" t="s">
        <v>155</v>
      </c>
      <c r="B477" s="184" t="s">
        <v>406</v>
      </c>
      <c r="C477" s="184" t="s">
        <v>174</v>
      </c>
      <c r="D477" s="185" t="s">
        <v>287</v>
      </c>
      <c r="E477" s="185">
        <v>15549</v>
      </c>
      <c r="F477" s="185" t="s">
        <v>149</v>
      </c>
      <c r="G477" s="189">
        <v>109001</v>
      </c>
      <c r="H477" s="184" t="s">
        <v>105</v>
      </c>
      <c r="I477" s="184" t="s">
        <v>294</v>
      </c>
      <c r="J477" s="184" t="s">
        <v>347</v>
      </c>
      <c r="K477" s="184" t="s">
        <v>295</v>
      </c>
      <c r="L477" s="185">
        <v>1</v>
      </c>
      <c r="M477" s="186">
        <v>3984.76</v>
      </c>
      <c r="N477" s="186">
        <v>0</v>
      </c>
      <c r="O477" s="125">
        <f t="shared" si="40"/>
        <v>3984.76</v>
      </c>
      <c r="P477" s="164">
        <f t="shared" si="41"/>
        <v>-3984.76</v>
      </c>
    </row>
    <row r="478" spans="1:17" ht="14.5" x14ac:dyDescent="0.35">
      <c r="A478" s="184" t="s">
        <v>155</v>
      </c>
      <c r="B478" s="184" t="s">
        <v>406</v>
      </c>
      <c r="C478" s="184" t="s">
        <v>174</v>
      </c>
      <c r="D478" s="185" t="s">
        <v>287</v>
      </c>
      <c r="E478" s="185">
        <v>15550</v>
      </c>
      <c r="F478" s="185" t="s">
        <v>149</v>
      </c>
      <c r="G478" s="189">
        <v>109901</v>
      </c>
      <c r="H478" s="184" t="s">
        <v>106</v>
      </c>
      <c r="I478" s="184" t="s">
        <v>294</v>
      </c>
      <c r="J478" s="184" t="s">
        <v>295</v>
      </c>
      <c r="K478" s="184" t="s">
        <v>295</v>
      </c>
      <c r="L478" s="185">
        <v>1</v>
      </c>
      <c r="M478" s="186">
        <v>1171273.9099999999</v>
      </c>
      <c r="N478" s="186">
        <v>1169000</v>
      </c>
      <c r="O478" s="125">
        <f t="shared" si="40"/>
        <v>2273.9099999999162</v>
      </c>
      <c r="P478" s="125"/>
    </row>
    <row r="479" spans="1:17" ht="14.5" x14ac:dyDescent="0.35">
      <c r="A479" s="184" t="s">
        <v>155</v>
      </c>
      <c r="B479" s="184" t="s">
        <v>406</v>
      </c>
      <c r="C479" s="184" t="s">
        <v>174</v>
      </c>
      <c r="D479" s="185" t="s">
        <v>287</v>
      </c>
      <c r="E479" s="185">
        <v>15551</v>
      </c>
      <c r="F479" s="185" t="s">
        <v>149</v>
      </c>
      <c r="G479" s="189">
        <v>109901</v>
      </c>
      <c r="H479" s="184" t="s">
        <v>106</v>
      </c>
      <c r="I479" s="184" t="s">
        <v>294</v>
      </c>
      <c r="J479" s="184" t="s">
        <v>349</v>
      </c>
      <c r="K479" s="184" t="s">
        <v>295</v>
      </c>
      <c r="L479" s="185">
        <v>1</v>
      </c>
      <c r="M479" s="186">
        <v>13587.44</v>
      </c>
      <c r="N479" s="186">
        <v>14000</v>
      </c>
      <c r="O479" s="125">
        <f t="shared" si="40"/>
        <v>-412.55999999999949</v>
      </c>
      <c r="P479" s="125"/>
    </row>
    <row r="480" spans="1:17" ht="14.5" x14ac:dyDescent="0.35">
      <c r="A480" s="184" t="s">
        <v>155</v>
      </c>
      <c r="B480" s="184" t="s">
        <v>406</v>
      </c>
      <c r="C480" s="184" t="s">
        <v>174</v>
      </c>
      <c r="D480" s="185" t="s">
        <v>287</v>
      </c>
      <c r="E480" s="185">
        <v>15552</v>
      </c>
      <c r="F480" s="185" t="s">
        <v>149</v>
      </c>
      <c r="G480" s="189">
        <v>109901</v>
      </c>
      <c r="H480" s="184" t="s">
        <v>106</v>
      </c>
      <c r="I480" s="184" t="s">
        <v>294</v>
      </c>
      <c r="J480" s="184" t="s">
        <v>392</v>
      </c>
      <c r="K480" s="184" t="s">
        <v>295</v>
      </c>
      <c r="L480" s="185">
        <v>1</v>
      </c>
      <c r="M480" s="186">
        <v>619.32000000000005</v>
      </c>
      <c r="N480" s="186">
        <v>0</v>
      </c>
      <c r="O480" s="125">
        <f t="shared" si="40"/>
        <v>619.32000000000005</v>
      </c>
      <c r="P480" s="164"/>
    </row>
    <row r="481" spans="1:17" ht="14.5" x14ac:dyDescent="0.35">
      <c r="A481" s="184" t="s">
        <v>155</v>
      </c>
      <c r="B481" s="184" t="s">
        <v>406</v>
      </c>
      <c r="C481" s="184" t="s">
        <v>174</v>
      </c>
      <c r="D481" s="185" t="s">
        <v>287</v>
      </c>
      <c r="E481" s="185">
        <v>15553</v>
      </c>
      <c r="F481" s="185" t="s">
        <v>149</v>
      </c>
      <c r="G481" s="189">
        <v>109901</v>
      </c>
      <c r="H481" s="184" t="s">
        <v>106</v>
      </c>
      <c r="I481" s="184" t="s">
        <v>294</v>
      </c>
      <c r="J481" s="184" t="s">
        <v>347</v>
      </c>
      <c r="K481" s="184" t="s">
        <v>295</v>
      </c>
      <c r="L481" s="185">
        <v>1</v>
      </c>
      <c r="M481" s="186">
        <v>6126.45</v>
      </c>
      <c r="N481" s="186">
        <v>0</v>
      </c>
      <c r="O481" s="125">
        <f t="shared" si="40"/>
        <v>6126.45</v>
      </c>
      <c r="P481" s="164"/>
    </row>
    <row r="482" spans="1:17" ht="14.5" x14ac:dyDescent="0.35">
      <c r="A482" s="184" t="s">
        <v>155</v>
      </c>
      <c r="B482" s="184" t="s">
        <v>407</v>
      </c>
      <c r="C482" s="184" t="s">
        <v>64</v>
      </c>
      <c r="D482" s="185" t="s">
        <v>287</v>
      </c>
      <c r="E482" s="185">
        <v>15638</v>
      </c>
      <c r="F482" s="185" t="s">
        <v>149</v>
      </c>
      <c r="G482" s="184">
        <v>101001</v>
      </c>
      <c r="H482" s="184" t="s">
        <v>108</v>
      </c>
      <c r="I482" s="184" t="s">
        <v>294</v>
      </c>
      <c r="J482" s="184" t="s">
        <v>295</v>
      </c>
      <c r="K482" s="184" t="s">
        <v>295</v>
      </c>
      <c r="L482" s="185">
        <v>1</v>
      </c>
      <c r="M482" s="186">
        <v>5380393.0800000001</v>
      </c>
      <c r="N482" s="186">
        <v>5656000</v>
      </c>
      <c r="O482" s="125">
        <f t="shared" si="40"/>
        <v>-275606.91999999993</v>
      </c>
      <c r="P482" s="125"/>
      <c r="Q482" s="73">
        <f t="shared" ref="Q482:Q503" si="42">M482*$Q$7*1.141</f>
        <v>613902.85042800009</v>
      </c>
    </row>
    <row r="483" spans="1:17" ht="14.5" x14ac:dyDescent="0.35">
      <c r="A483" s="184" t="s">
        <v>155</v>
      </c>
      <c r="B483" s="184" t="s">
        <v>407</v>
      </c>
      <c r="C483" s="184" t="s">
        <v>64</v>
      </c>
      <c r="D483" s="185" t="s">
        <v>287</v>
      </c>
      <c r="E483" s="185">
        <v>15639</v>
      </c>
      <c r="F483" s="185" t="s">
        <v>149</v>
      </c>
      <c r="G483" s="184">
        <v>101002</v>
      </c>
      <c r="H483" s="184" t="s">
        <v>109</v>
      </c>
      <c r="I483" s="184" t="s">
        <v>294</v>
      </c>
      <c r="J483" s="184" t="s">
        <v>295</v>
      </c>
      <c r="K483" s="184" t="s">
        <v>295</v>
      </c>
      <c r="L483" s="185">
        <v>1</v>
      </c>
      <c r="M483" s="186">
        <v>289572.13</v>
      </c>
      <c r="N483" s="186">
        <v>8000</v>
      </c>
      <c r="O483" s="125">
        <f t="shared" si="40"/>
        <v>281572.13</v>
      </c>
      <c r="P483" s="125"/>
      <c r="Q483" s="73">
        <f t="shared" si="42"/>
        <v>33040.180033000004</v>
      </c>
    </row>
    <row r="484" spans="1:17" ht="14.5" x14ac:dyDescent="0.35">
      <c r="A484" s="184" t="s">
        <v>155</v>
      </c>
      <c r="B484" s="184" t="s">
        <v>407</v>
      </c>
      <c r="C484" s="184" t="s">
        <v>64</v>
      </c>
      <c r="D484" s="185" t="s">
        <v>287</v>
      </c>
      <c r="E484" s="185">
        <v>15640</v>
      </c>
      <c r="F484" s="185" t="s">
        <v>149</v>
      </c>
      <c r="G484" s="184">
        <v>101002</v>
      </c>
      <c r="H484" s="184" t="s">
        <v>109</v>
      </c>
      <c r="I484" s="184" t="s">
        <v>294</v>
      </c>
      <c r="J484" s="184" t="s">
        <v>349</v>
      </c>
      <c r="K484" s="184" t="s">
        <v>295</v>
      </c>
      <c r="L484" s="185">
        <v>1</v>
      </c>
      <c r="M484" s="186">
        <v>0</v>
      </c>
      <c r="N484" s="186">
        <v>80000</v>
      </c>
      <c r="O484" s="125">
        <f t="shared" si="40"/>
        <v>-80000</v>
      </c>
      <c r="P484" s="125"/>
      <c r="Q484" s="73">
        <f t="shared" si="42"/>
        <v>0</v>
      </c>
    </row>
    <row r="485" spans="1:17" ht="14.5" x14ac:dyDescent="0.35">
      <c r="A485" s="184" t="s">
        <v>155</v>
      </c>
      <c r="B485" s="184" t="s">
        <v>407</v>
      </c>
      <c r="C485" s="184" t="s">
        <v>64</v>
      </c>
      <c r="D485" s="185" t="s">
        <v>287</v>
      </c>
      <c r="E485" s="185">
        <v>15641</v>
      </c>
      <c r="F485" s="185" t="s">
        <v>149</v>
      </c>
      <c r="G485" s="184">
        <v>101002</v>
      </c>
      <c r="H485" s="184" t="s">
        <v>109</v>
      </c>
      <c r="I485" s="184" t="s">
        <v>294</v>
      </c>
      <c r="J485" s="184" t="s">
        <v>347</v>
      </c>
      <c r="K485" s="184" t="s">
        <v>295</v>
      </c>
      <c r="L485" s="185">
        <v>1</v>
      </c>
      <c r="M485" s="186">
        <v>15617.99</v>
      </c>
      <c r="N485" s="186">
        <v>0</v>
      </c>
      <c r="O485" s="125">
        <f t="shared" si="40"/>
        <v>15617.99</v>
      </c>
      <c r="P485" s="125"/>
      <c r="Q485" s="73">
        <f t="shared" si="42"/>
        <v>1782.012659</v>
      </c>
    </row>
    <row r="486" spans="1:17" ht="14.5" x14ac:dyDescent="0.35">
      <c r="A486" s="184" t="s">
        <v>155</v>
      </c>
      <c r="B486" s="184" t="s">
        <v>407</v>
      </c>
      <c r="C486" s="184" t="s">
        <v>64</v>
      </c>
      <c r="D486" s="185" t="s">
        <v>287</v>
      </c>
      <c r="E486" s="185">
        <v>15642</v>
      </c>
      <c r="F486" s="185" t="s">
        <v>149</v>
      </c>
      <c r="G486" s="184">
        <v>101031</v>
      </c>
      <c r="H486" s="184" t="s">
        <v>156</v>
      </c>
      <c r="I486" s="184" t="s">
        <v>294</v>
      </c>
      <c r="J486" s="184" t="s">
        <v>295</v>
      </c>
      <c r="K486" s="184" t="s">
        <v>295</v>
      </c>
      <c r="L486" s="185">
        <v>1</v>
      </c>
      <c r="M486" s="186">
        <v>2672.46</v>
      </c>
      <c r="N486" s="186">
        <v>0</v>
      </c>
      <c r="O486" s="125">
        <f t="shared" si="40"/>
        <v>2672.46</v>
      </c>
      <c r="P486" s="125"/>
      <c r="Q486" s="73">
        <f t="shared" si="42"/>
        <v>304.92768600000005</v>
      </c>
    </row>
    <row r="487" spans="1:17" ht="14.5" x14ac:dyDescent="0.35">
      <c r="A487" s="184" t="s">
        <v>155</v>
      </c>
      <c r="B487" s="184" t="s">
        <v>407</v>
      </c>
      <c r="C487" s="184" t="s">
        <v>64</v>
      </c>
      <c r="D487" s="185" t="s">
        <v>287</v>
      </c>
      <c r="E487" s="185">
        <v>15643</v>
      </c>
      <c r="F487" s="185" t="s">
        <v>149</v>
      </c>
      <c r="G487" s="184">
        <v>101039</v>
      </c>
      <c r="H487" s="184" t="s">
        <v>111</v>
      </c>
      <c r="I487" s="184" t="s">
        <v>294</v>
      </c>
      <c r="J487" s="184" t="s">
        <v>295</v>
      </c>
      <c r="K487" s="184" t="s">
        <v>295</v>
      </c>
      <c r="L487" s="185">
        <v>1</v>
      </c>
      <c r="M487" s="186">
        <v>111612.25</v>
      </c>
      <c r="N487" s="186">
        <v>5000</v>
      </c>
      <c r="O487" s="125">
        <f t="shared" si="40"/>
        <v>106612.25</v>
      </c>
      <c r="P487" s="125"/>
      <c r="Q487" s="73">
        <f t="shared" si="42"/>
        <v>12734.957725</v>
      </c>
    </row>
    <row r="488" spans="1:17" ht="14.5" x14ac:dyDescent="0.35">
      <c r="A488" s="184" t="s">
        <v>155</v>
      </c>
      <c r="B488" s="184" t="s">
        <v>407</v>
      </c>
      <c r="C488" s="184" t="s">
        <v>64</v>
      </c>
      <c r="D488" s="185" t="s">
        <v>287</v>
      </c>
      <c r="E488" s="185">
        <v>15644</v>
      </c>
      <c r="F488" s="185" t="s">
        <v>149</v>
      </c>
      <c r="G488" s="184">
        <v>102002</v>
      </c>
      <c r="H488" s="184" t="s">
        <v>112</v>
      </c>
      <c r="I488" s="184" t="s">
        <v>294</v>
      </c>
      <c r="J488" s="184" t="s">
        <v>295</v>
      </c>
      <c r="K488" s="184" t="s">
        <v>295</v>
      </c>
      <c r="L488" s="185">
        <v>1</v>
      </c>
      <c r="M488" s="186">
        <v>12255.43</v>
      </c>
      <c r="N488" s="186">
        <v>0</v>
      </c>
      <c r="O488" s="125">
        <f t="shared" si="40"/>
        <v>12255.43</v>
      </c>
      <c r="P488" s="125"/>
      <c r="Q488" s="73">
        <f t="shared" si="42"/>
        <v>1398.3445630000001</v>
      </c>
    </row>
    <row r="489" spans="1:17" ht="14.5" x14ac:dyDescent="0.35">
      <c r="A489" s="184" t="s">
        <v>155</v>
      </c>
      <c r="B489" s="184" t="s">
        <v>407</v>
      </c>
      <c r="C489" s="184" t="s">
        <v>64</v>
      </c>
      <c r="D489" s="185" t="s">
        <v>287</v>
      </c>
      <c r="E489" s="185">
        <v>15645</v>
      </c>
      <c r="F489" s="185" t="s">
        <v>149</v>
      </c>
      <c r="G489" s="184">
        <v>102002</v>
      </c>
      <c r="H489" s="184" t="s">
        <v>112</v>
      </c>
      <c r="I489" s="184" t="s">
        <v>294</v>
      </c>
      <c r="J489" s="184" t="s">
        <v>349</v>
      </c>
      <c r="K489" s="184" t="s">
        <v>295</v>
      </c>
      <c r="L489" s="185">
        <v>1</v>
      </c>
      <c r="M489" s="186">
        <v>890.03</v>
      </c>
      <c r="N489" s="186">
        <v>0</v>
      </c>
      <c r="O489" s="125">
        <f t="shared" si="40"/>
        <v>890.03</v>
      </c>
      <c r="P489" s="125"/>
      <c r="Q489" s="73">
        <f t="shared" si="42"/>
        <v>101.552423</v>
      </c>
    </row>
    <row r="490" spans="1:17" ht="14.5" x14ac:dyDescent="0.35">
      <c r="A490" s="184" t="s">
        <v>155</v>
      </c>
      <c r="B490" s="184" t="s">
        <v>407</v>
      </c>
      <c r="C490" s="184" t="s">
        <v>64</v>
      </c>
      <c r="D490" s="185" t="s">
        <v>287</v>
      </c>
      <c r="E490" s="185">
        <v>15646</v>
      </c>
      <c r="F490" s="185" t="s">
        <v>149</v>
      </c>
      <c r="G490" s="184">
        <v>102002</v>
      </c>
      <c r="H490" s="184" t="s">
        <v>112</v>
      </c>
      <c r="I490" s="184" t="s">
        <v>294</v>
      </c>
      <c r="J490" s="184" t="s">
        <v>347</v>
      </c>
      <c r="K490" s="184" t="s">
        <v>295</v>
      </c>
      <c r="L490" s="185">
        <v>1</v>
      </c>
      <c r="M490" s="186">
        <v>1306.3</v>
      </c>
      <c r="N490" s="186">
        <v>0</v>
      </c>
      <c r="O490" s="125">
        <f t="shared" si="40"/>
        <v>1306.3</v>
      </c>
      <c r="P490" s="125"/>
      <c r="Q490" s="73">
        <f t="shared" si="42"/>
        <v>149.04883000000001</v>
      </c>
    </row>
    <row r="491" spans="1:17" ht="14.5" x14ac:dyDescent="0.35">
      <c r="A491" s="184" t="s">
        <v>155</v>
      </c>
      <c r="B491" s="184" t="s">
        <v>407</v>
      </c>
      <c r="C491" s="184" t="s">
        <v>64</v>
      </c>
      <c r="D491" s="185" t="s">
        <v>287</v>
      </c>
      <c r="E491" s="185">
        <v>15647</v>
      </c>
      <c r="F491" s="185" t="s">
        <v>149</v>
      </c>
      <c r="G491" s="184">
        <v>102003</v>
      </c>
      <c r="H491" s="184" t="s">
        <v>110</v>
      </c>
      <c r="I491" s="184" t="s">
        <v>294</v>
      </c>
      <c r="J491" s="184" t="s">
        <v>295</v>
      </c>
      <c r="K491" s="184" t="s">
        <v>295</v>
      </c>
      <c r="L491" s="185">
        <v>1</v>
      </c>
      <c r="M491" s="186">
        <v>290181.37</v>
      </c>
      <c r="N491" s="186">
        <v>125000</v>
      </c>
      <c r="O491" s="125">
        <f t="shared" si="40"/>
        <v>165181.37</v>
      </c>
      <c r="P491" s="125"/>
      <c r="Q491" s="73">
        <f t="shared" si="42"/>
        <v>33109.694317000001</v>
      </c>
    </row>
    <row r="492" spans="1:17" ht="14.5" x14ac:dyDescent="0.35">
      <c r="A492" s="184" t="s">
        <v>155</v>
      </c>
      <c r="B492" s="184" t="s">
        <v>407</v>
      </c>
      <c r="C492" s="184" t="s">
        <v>64</v>
      </c>
      <c r="D492" s="185" t="s">
        <v>287</v>
      </c>
      <c r="E492" s="185">
        <v>15648</v>
      </c>
      <c r="F492" s="185" t="s">
        <v>149</v>
      </c>
      <c r="G492" s="184">
        <v>102003</v>
      </c>
      <c r="H492" s="184" t="s">
        <v>110</v>
      </c>
      <c r="I492" s="184" t="s">
        <v>294</v>
      </c>
      <c r="J492" s="184" t="s">
        <v>349</v>
      </c>
      <c r="K492" s="184" t="s">
        <v>295</v>
      </c>
      <c r="L492" s="185">
        <v>1</v>
      </c>
      <c r="M492" s="186">
        <v>70651.05</v>
      </c>
      <c r="N492" s="186">
        <v>0</v>
      </c>
      <c r="O492" s="125">
        <f t="shared" si="40"/>
        <v>70651.05</v>
      </c>
      <c r="P492" s="125"/>
      <c r="Q492" s="73">
        <f t="shared" si="42"/>
        <v>8061.2848050000002</v>
      </c>
    </row>
    <row r="493" spans="1:17" ht="14.5" x14ac:dyDescent="0.35">
      <c r="A493" s="184" t="s">
        <v>155</v>
      </c>
      <c r="B493" s="184" t="s">
        <v>407</v>
      </c>
      <c r="C493" s="184" t="s">
        <v>64</v>
      </c>
      <c r="D493" s="185" t="s">
        <v>287</v>
      </c>
      <c r="E493" s="185">
        <v>15649</v>
      </c>
      <c r="F493" s="185" t="s">
        <v>149</v>
      </c>
      <c r="G493" s="184">
        <v>102005</v>
      </c>
      <c r="H493" s="184" t="s">
        <v>116</v>
      </c>
      <c r="I493" s="184" t="s">
        <v>294</v>
      </c>
      <c r="J493" s="184" t="s">
        <v>295</v>
      </c>
      <c r="K493" s="184" t="s">
        <v>295</v>
      </c>
      <c r="L493" s="185">
        <v>1</v>
      </c>
      <c r="M493" s="186">
        <v>74500.2</v>
      </c>
      <c r="N493" s="186">
        <v>24000</v>
      </c>
      <c r="O493" s="125">
        <f t="shared" si="40"/>
        <v>50500.2</v>
      </c>
      <c r="P493" s="125"/>
      <c r="Q493" s="73">
        <f t="shared" si="42"/>
        <v>8500.4728200000009</v>
      </c>
    </row>
    <row r="494" spans="1:17" ht="14.5" x14ac:dyDescent="0.35">
      <c r="A494" s="184" t="s">
        <v>155</v>
      </c>
      <c r="B494" s="184" t="s">
        <v>407</v>
      </c>
      <c r="C494" s="184" t="s">
        <v>64</v>
      </c>
      <c r="D494" s="185" t="s">
        <v>287</v>
      </c>
      <c r="E494" s="185">
        <v>15650</v>
      </c>
      <c r="F494" s="185" t="s">
        <v>149</v>
      </c>
      <c r="G494" s="184">
        <v>102005</v>
      </c>
      <c r="H494" s="184" t="s">
        <v>116</v>
      </c>
      <c r="I494" s="184" t="s">
        <v>294</v>
      </c>
      <c r="J494" s="184" t="s">
        <v>349</v>
      </c>
      <c r="K494" s="184" t="s">
        <v>295</v>
      </c>
      <c r="L494" s="185">
        <v>1</v>
      </c>
      <c r="M494" s="186">
        <v>8905.18</v>
      </c>
      <c r="N494" s="186">
        <v>0</v>
      </c>
      <c r="O494" s="125">
        <f t="shared" si="40"/>
        <v>8905.18</v>
      </c>
      <c r="P494" s="125"/>
      <c r="Q494" s="73">
        <f t="shared" si="42"/>
        <v>1016.081038</v>
      </c>
    </row>
    <row r="495" spans="1:17" ht="14.5" x14ac:dyDescent="0.35">
      <c r="A495" s="184" t="s">
        <v>155</v>
      </c>
      <c r="B495" s="184" t="s">
        <v>407</v>
      </c>
      <c r="C495" s="184" t="s">
        <v>64</v>
      </c>
      <c r="D495" s="185" t="s">
        <v>287</v>
      </c>
      <c r="E495" s="185">
        <v>15651</v>
      </c>
      <c r="F495" s="185" t="s">
        <v>149</v>
      </c>
      <c r="G495" s="184">
        <v>102062</v>
      </c>
      <c r="H495" s="184" t="s">
        <v>117</v>
      </c>
      <c r="I495" s="184" t="s">
        <v>294</v>
      </c>
      <c r="J495" s="184" t="s">
        <v>295</v>
      </c>
      <c r="K495" s="184" t="s">
        <v>295</v>
      </c>
      <c r="L495" s="185">
        <v>1</v>
      </c>
      <c r="M495" s="186">
        <v>4496.71</v>
      </c>
      <c r="N495" s="186">
        <v>0</v>
      </c>
      <c r="O495" s="125">
        <f t="shared" si="40"/>
        <v>4496.71</v>
      </c>
      <c r="P495" s="125"/>
      <c r="Q495" s="73">
        <f t="shared" si="42"/>
        <v>513.07461100000012</v>
      </c>
    </row>
    <row r="496" spans="1:17" ht="14.5" x14ac:dyDescent="0.35">
      <c r="A496" s="184" t="s">
        <v>155</v>
      </c>
      <c r="B496" s="184" t="s">
        <v>407</v>
      </c>
      <c r="C496" s="184" t="s">
        <v>64</v>
      </c>
      <c r="D496" s="185" t="s">
        <v>287</v>
      </c>
      <c r="E496" s="185">
        <v>15652</v>
      </c>
      <c r="F496" s="185" t="s">
        <v>149</v>
      </c>
      <c r="G496" s="184">
        <v>103001</v>
      </c>
      <c r="H496" s="184" t="s">
        <v>113</v>
      </c>
      <c r="I496" s="184" t="s">
        <v>294</v>
      </c>
      <c r="J496" s="184" t="s">
        <v>295</v>
      </c>
      <c r="K496" s="184" t="s">
        <v>295</v>
      </c>
      <c r="L496" s="185">
        <v>1</v>
      </c>
      <c r="M496" s="186">
        <v>18352.47</v>
      </c>
      <c r="N496" s="186">
        <v>0</v>
      </c>
      <c r="O496" s="125">
        <f t="shared" si="40"/>
        <v>18352.47</v>
      </c>
      <c r="P496" s="125"/>
      <c r="Q496" s="73">
        <f t="shared" si="42"/>
        <v>2094.0168270000004</v>
      </c>
    </row>
    <row r="497" spans="1:17" ht="14.5" x14ac:dyDescent="0.35">
      <c r="A497" s="184" t="s">
        <v>155</v>
      </c>
      <c r="B497" s="184" t="s">
        <v>407</v>
      </c>
      <c r="C497" s="184" t="s">
        <v>64</v>
      </c>
      <c r="D497" s="185" t="s">
        <v>287</v>
      </c>
      <c r="E497" s="185">
        <v>15653</v>
      </c>
      <c r="F497" s="185" t="s">
        <v>149</v>
      </c>
      <c r="G497" s="184">
        <v>103062</v>
      </c>
      <c r="H497" s="184" t="s">
        <v>118</v>
      </c>
      <c r="I497" s="184" t="s">
        <v>294</v>
      </c>
      <c r="J497" s="184" t="s">
        <v>295</v>
      </c>
      <c r="K497" s="184" t="s">
        <v>295</v>
      </c>
      <c r="L497" s="185">
        <v>1</v>
      </c>
      <c r="M497" s="186">
        <v>128.02000000000001</v>
      </c>
      <c r="N497" s="186">
        <v>0</v>
      </c>
      <c r="O497" s="125">
        <f t="shared" si="40"/>
        <v>128.02000000000001</v>
      </c>
      <c r="P497" s="125"/>
      <c r="Q497" s="73">
        <f t="shared" si="42"/>
        <v>14.607082000000002</v>
      </c>
    </row>
    <row r="498" spans="1:17" ht="14.5" x14ac:dyDescent="0.35">
      <c r="A498" s="184" t="s">
        <v>155</v>
      </c>
      <c r="B498" s="184" t="s">
        <v>407</v>
      </c>
      <c r="C498" s="184" t="s">
        <v>64</v>
      </c>
      <c r="D498" s="185" t="s">
        <v>287</v>
      </c>
      <c r="E498" s="185">
        <v>15654</v>
      </c>
      <c r="F498" s="185" t="s">
        <v>149</v>
      </c>
      <c r="G498" s="184">
        <v>103069</v>
      </c>
      <c r="H498" s="184" t="s">
        <v>225</v>
      </c>
      <c r="I498" s="184" t="s">
        <v>294</v>
      </c>
      <c r="J498" s="184" t="s">
        <v>295</v>
      </c>
      <c r="K498" s="184" t="s">
        <v>295</v>
      </c>
      <c r="L498" s="185">
        <v>1</v>
      </c>
      <c r="M498" s="186">
        <v>8427.7000000000007</v>
      </c>
      <c r="N498" s="186">
        <v>0</v>
      </c>
      <c r="O498" s="125">
        <f t="shared" si="40"/>
        <v>8427.7000000000007</v>
      </c>
      <c r="P498" s="125"/>
      <c r="Q498" s="73">
        <f t="shared" si="42"/>
        <v>961.60057000000018</v>
      </c>
    </row>
    <row r="499" spans="1:17" ht="14.5" x14ac:dyDescent="0.35">
      <c r="A499" s="184" t="s">
        <v>155</v>
      </c>
      <c r="B499" s="184" t="s">
        <v>407</v>
      </c>
      <c r="C499" s="184" t="s">
        <v>64</v>
      </c>
      <c r="D499" s="185" t="s">
        <v>287</v>
      </c>
      <c r="E499" s="185">
        <v>15655</v>
      </c>
      <c r="F499" s="185" t="s">
        <v>149</v>
      </c>
      <c r="G499" s="184">
        <v>104000</v>
      </c>
      <c r="H499" s="184" t="s">
        <v>114</v>
      </c>
      <c r="I499" s="184" t="s">
        <v>294</v>
      </c>
      <c r="J499" s="184" t="s">
        <v>295</v>
      </c>
      <c r="K499" s="184" t="s">
        <v>295</v>
      </c>
      <c r="L499" s="185">
        <v>1</v>
      </c>
      <c r="M499" s="186">
        <v>43383.34</v>
      </c>
      <c r="N499" s="186">
        <v>45000</v>
      </c>
      <c r="O499" s="125">
        <f t="shared" si="40"/>
        <v>-1616.6600000000035</v>
      </c>
      <c r="P499" s="125"/>
      <c r="Q499" s="73">
        <f t="shared" si="42"/>
        <v>4950.0390939999997</v>
      </c>
    </row>
    <row r="500" spans="1:17" ht="14.5" x14ac:dyDescent="0.35">
      <c r="A500" s="184" t="s">
        <v>155</v>
      </c>
      <c r="B500" s="184" t="s">
        <v>407</v>
      </c>
      <c r="C500" s="184" t="s">
        <v>64</v>
      </c>
      <c r="D500" s="185" t="s">
        <v>287</v>
      </c>
      <c r="E500" s="185">
        <v>15656</v>
      </c>
      <c r="F500" s="185" t="s">
        <v>149</v>
      </c>
      <c r="G500" s="184">
        <v>104000</v>
      </c>
      <c r="H500" s="184" t="s">
        <v>114</v>
      </c>
      <c r="I500" s="184" t="s">
        <v>294</v>
      </c>
      <c r="J500" s="184" t="s">
        <v>349</v>
      </c>
      <c r="K500" s="184" t="s">
        <v>295</v>
      </c>
      <c r="L500" s="185">
        <v>1</v>
      </c>
      <c r="M500" s="186">
        <v>9886.65</v>
      </c>
      <c r="N500" s="186">
        <v>11000</v>
      </c>
      <c r="O500" s="125">
        <f t="shared" si="40"/>
        <v>-1113.3500000000004</v>
      </c>
      <c r="P500" s="125"/>
      <c r="Q500" s="73">
        <f t="shared" si="42"/>
        <v>1128.066765</v>
      </c>
    </row>
    <row r="501" spans="1:17" ht="14.5" x14ac:dyDescent="0.35">
      <c r="A501" s="184" t="s">
        <v>155</v>
      </c>
      <c r="B501" s="184" t="s">
        <v>407</v>
      </c>
      <c r="C501" s="184" t="s">
        <v>64</v>
      </c>
      <c r="D501" s="185" t="s">
        <v>287</v>
      </c>
      <c r="E501" s="185">
        <v>15657</v>
      </c>
      <c r="F501" s="185" t="s">
        <v>149</v>
      </c>
      <c r="G501" s="184">
        <v>105019</v>
      </c>
      <c r="H501" s="184" t="s">
        <v>115</v>
      </c>
      <c r="I501" s="184" t="s">
        <v>294</v>
      </c>
      <c r="J501" s="184" t="s">
        <v>295</v>
      </c>
      <c r="K501" s="184" t="s">
        <v>295</v>
      </c>
      <c r="L501" s="185">
        <v>1</v>
      </c>
      <c r="M501" s="186">
        <v>61.81</v>
      </c>
      <c r="N501" s="186">
        <v>0</v>
      </c>
      <c r="O501" s="125">
        <f t="shared" si="40"/>
        <v>61.81</v>
      </c>
      <c r="P501" s="125"/>
      <c r="Q501" s="73">
        <f t="shared" si="42"/>
        <v>7.0525210000000014</v>
      </c>
    </row>
    <row r="502" spans="1:17" ht="14.5" x14ac:dyDescent="0.35">
      <c r="A502" s="184" t="s">
        <v>155</v>
      </c>
      <c r="B502" s="184" t="s">
        <v>407</v>
      </c>
      <c r="C502" s="184" t="s">
        <v>64</v>
      </c>
      <c r="D502" s="185" t="s">
        <v>287</v>
      </c>
      <c r="E502" s="185">
        <v>15658</v>
      </c>
      <c r="F502" s="185" t="s">
        <v>149</v>
      </c>
      <c r="G502" s="184">
        <v>105098</v>
      </c>
      <c r="H502" s="184" t="s">
        <v>314</v>
      </c>
      <c r="I502" s="184" t="s">
        <v>294</v>
      </c>
      <c r="J502" s="184" t="s">
        <v>391</v>
      </c>
      <c r="K502" s="184" t="s">
        <v>295</v>
      </c>
      <c r="L502" s="185">
        <v>1</v>
      </c>
      <c r="M502" s="186">
        <v>-4392</v>
      </c>
      <c r="N502" s="186">
        <v>0</v>
      </c>
      <c r="O502" s="125">
        <f t="shared" si="40"/>
        <v>-4392</v>
      </c>
      <c r="P502" s="125"/>
      <c r="Q502" s="73">
        <f t="shared" si="42"/>
        <v>-501.12720000000007</v>
      </c>
    </row>
    <row r="503" spans="1:17" ht="14.5" x14ac:dyDescent="0.35">
      <c r="A503" s="184" t="s">
        <v>155</v>
      </c>
      <c r="B503" s="184" t="s">
        <v>407</v>
      </c>
      <c r="C503" s="184" t="s">
        <v>64</v>
      </c>
      <c r="D503" s="185" t="s">
        <v>287</v>
      </c>
      <c r="E503" s="185">
        <v>15659</v>
      </c>
      <c r="F503" s="185" t="s">
        <v>149</v>
      </c>
      <c r="G503" s="184">
        <v>105099</v>
      </c>
      <c r="H503" s="184" t="s">
        <v>107</v>
      </c>
      <c r="I503" s="184" t="s">
        <v>294</v>
      </c>
      <c r="J503" s="184" t="s">
        <v>392</v>
      </c>
      <c r="K503" s="184" t="s">
        <v>295</v>
      </c>
      <c r="L503" s="185">
        <v>1</v>
      </c>
      <c r="M503" s="186">
        <v>4392</v>
      </c>
      <c r="N503" s="186">
        <v>0</v>
      </c>
      <c r="O503" s="125">
        <f t="shared" si="40"/>
        <v>4392</v>
      </c>
      <c r="P503" s="125"/>
      <c r="Q503" s="73">
        <f t="shared" si="42"/>
        <v>501.12720000000007</v>
      </c>
    </row>
    <row r="504" spans="1:17" ht="14.5" x14ac:dyDescent="0.35">
      <c r="A504" s="184" t="s">
        <v>155</v>
      </c>
      <c r="B504" s="184" t="s">
        <v>407</v>
      </c>
      <c r="C504" s="184" t="s">
        <v>64</v>
      </c>
      <c r="D504" s="185" t="s">
        <v>287</v>
      </c>
      <c r="E504" s="185">
        <v>15660</v>
      </c>
      <c r="F504" s="185" t="s">
        <v>149</v>
      </c>
      <c r="G504" s="189">
        <v>109001</v>
      </c>
      <c r="H504" s="184" t="s">
        <v>105</v>
      </c>
      <c r="I504" s="184" t="s">
        <v>294</v>
      </c>
      <c r="J504" s="184" t="s">
        <v>295</v>
      </c>
      <c r="K504" s="184" t="s">
        <v>295</v>
      </c>
      <c r="L504" s="185">
        <v>1</v>
      </c>
      <c r="M504" s="186">
        <v>606370.26</v>
      </c>
      <c r="N504" s="186">
        <v>587000</v>
      </c>
      <c r="O504" s="125">
        <f t="shared" si="40"/>
        <v>19370.260000000009</v>
      </c>
      <c r="P504" s="164">
        <f t="shared" ref="P504:P506" si="43">M504*-1</f>
        <v>-606370.26</v>
      </c>
    </row>
    <row r="505" spans="1:17" ht="14.5" x14ac:dyDescent="0.35">
      <c r="A505" s="184" t="s">
        <v>155</v>
      </c>
      <c r="B505" s="184" t="s">
        <v>407</v>
      </c>
      <c r="C505" s="184" t="s">
        <v>64</v>
      </c>
      <c r="D505" s="185" t="s">
        <v>287</v>
      </c>
      <c r="E505" s="185">
        <v>15661</v>
      </c>
      <c r="F505" s="185" t="s">
        <v>149</v>
      </c>
      <c r="G505" s="189">
        <v>109001</v>
      </c>
      <c r="H505" s="184" t="s">
        <v>105</v>
      </c>
      <c r="I505" s="184" t="s">
        <v>294</v>
      </c>
      <c r="J505" s="184" t="s">
        <v>349</v>
      </c>
      <c r="K505" s="184" t="s">
        <v>295</v>
      </c>
      <c r="L505" s="185">
        <v>1</v>
      </c>
      <c r="M505" s="186">
        <v>8074.1</v>
      </c>
      <c r="N505" s="186">
        <v>8000</v>
      </c>
      <c r="O505" s="125">
        <f t="shared" si="40"/>
        <v>74.100000000000364</v>
      </c>
      <c r="P505" s="164">
        <f t="shared" si="43"/>
        <v>-8074.1</v>
      </c>
    </row>
    <row r="506" spans="1:17" ht="14.5" x14ac:dyDescent="0.35">
      <c r="A506" s="184" t="s">
        <v>155</v>
      </c>
      <c r="B506" s="184" t="s">
        <v>407</v>
      </c>
      <c r="C506" s="184" t="s">
        <v>64</v>
      </c>
      <c r="D506" s="185" t="s">
        <v>287</v>
      </c>
      <c r="E506" s="185">
        <v>15662</v>
      </c>
      <c r="F506" s="185" t="s">
        <v>149</v>
      </c>
      <c r="G506" s="189">
        <v>109001</v>
      </c>
      <c r="H506" s="184" t="s">
        <v>105</v>
      </c>
      <c r="I506" s="184" t="s">
        <v>294</v>
      </c>
      <c r="J506" s="184" t="s">
        <v>347</v>
      </c>
      <c r="K506" s="184" t="s">
        <v>295</v>
      </c>
      <c r="L506" s="185">
        <v>1</v>
      </c>
      <c r="M506" s="186">
        <v>1697.82</v>
      </c>
      <c r="N506" s="186">
        <v>0</v>
      </c>
      <c r="O506" s="125">
        <f t="shared" si="40"/>
        <v>1697.82</v>
      </c>
      <c r="P506" s="164">
        <f t="shared" si="43"/>
        <v>-1697.82</v>
      </c>
    </row>
    <row r="507" spans="1:17" ht="14.5" x14ac:dyDescent="0.35">
      <c r="A507" s="184" t="s">
        <v>155</v>
      </c>
      <c r="B507" s="184" t="s">
        <v>407</v>
      </c>
      <c r="C507" s="184" t="s">
        <v>64</v>
      </c>
      <c r="D507" s="185" t="s">
        <v>287</v>
      </c>
      <c r="E507" s="185">
        <v>15663</v>
      </c>
      <c r="F507" s="185" t="s">
        <v>149</v>
      </c>
      <c r="G507" s="189">
        <v>109901</v>
      </c>
      <c r="H507" s="184" t="s">
        <v>106</v>
      </c>
      <c r="I507" s="184" t="s">
        <v>294</v>
      </c>
      <c r="J507" s="184" t="s">
        <v>295</v>
      </c>
      <c r="K507" s="184" t="s">
        <v>295</v>
      </c>
      <c r="L507" s="185">
        <v>1</v>
      </c>
      <c r="M507" s="186">
        <v>878566</v>
      </c>
      <c r="N507" s="186">
        <v>913000</v>
      </c>
      <c r="O507" s="125">
        <f t="shared" si="40"/>
        <v>-34434</v>
      </c>
      <c r="P507" s="164"/>
    </row>
    <row r="508" spans="1:17" ht="14.5" x14ac:dyDescent="0.35">
      <c r="A508" s="184" t="s">
        <v>155</v>
      </c>
      <c r="B508" s="184" t="s">
        <v>407</v>
      </c>
      <c r="C508" s="184" t="s">
        <v>64</v>
      </c>
      <c r="D508" s="185" t="s">
        <v>287</v>
      </c>
      <c r="E508" s="185">
        <v>15664</v>
      </c>
      <c r="F508" s="185" t="s">
        <v>149</v>
      </c>
      <c r="G508" s="189">
        <v>109901</v>
      </c>
      <c r="H508" s="184" t="s">
        <v>106</v>
      </c>
      <c r="I508" s="184" t="s">
        <v>294</v>
      </c>
      <c r="J508" s="184" t="s">
        <v>349</v>
      </c>
      <c r="K508" s="184" t="s">
        <v>295</v>
      </c>
      <c r="L508" s="185">
        <v>1</v>
      </c>
      <c r="M508" s="186">
        <v>13875.36</v>
      </c>
      <c r="N508" s="186">
        <v>14000</v>
      </c>
      <c r="O508" s="125">
        <f t="shared" si="40"/>
        <v>-124.63999999999942</v>
      </c>
      <c r="P508" s="164"/>
    </row>
    <row r="509" spans="1:17" ht="14.5" x14ac:dyDescent="0.35">
      <c r="A509" s="184" t="s">
        <v>155</v>
      </c>
      <c r="B509" s="184" t="s">
        <v>407</v>
      </c>
      <c r="C509" s="184" t="s">
        <v>64</v>
      </c>
      <c r="D509" s="185" t="s">
        <v>287</v>
      </c>
      <c r="E509" s="185">
        <v>15665</v>
      </c>
      <c r="F509" s="185" t="s">
        <v>149</v>
      </c>
      <c r="G509" s="189">
        <v>109901</v>
      </c>
      <c r="H509" s="184" t="s">
        <v>106</v>
      </c>
      <c r="I509" s="184" t="s">
        <v>294</v>
      </c>
      <c r="J509" s="184" t="s">
        <v>392</v>
      </c>
      <c r="K509" s="184" t="s">
        <v>295</v>
      </c>
      <c r="L509" s="185">
        <v>1</v>
      </c>
      <c r="M509" s="186">
        <v>619.32000000000005</v>
      </c>
      <c r="N509" s="186">
        <v>0</v>
      </c>
      <c r="O509" s="125">
        <f t="shared" si="40"/>
        <v>619.32000000000005</v>
      </c>
      <c r="P509" s="164"/>
    </row>
    <row r="510" spans="1:17" ht="14.5" x14ac:dyDescent="0.35">
      <c r="A510" s="184" t="s">
        <v>155</v>
      </c>
      <c r="B510" s="184" t="s">
        <v>407</v>
      </c>
      <c r="C510" s="184" t="s">
        <v>64</v>
      </c>
      <c r="D510" s="185" t="s">
        <v>287</v>
      </c>
      <c r="E510" s="185">
        <v>15666</v>
      </c>
      <c r="F510" s="185" t="s">
        <v>149</v>
      </c>
      <c r="G510" s="189">
        <v>109901</v>
      </c>
      <c r="H510" s="184" t="s">
        <v>106</v>
      </c>
      <c r="I510" s="184" t="s">
        <v>294</v>
      </c>
      <c r="J510" s="184" t="s">
        <v>347</v>
      </c>
      <c r="K510" s="184" t="s">
        <v>295</v>
      </c>
      <c r="L510" s="185">
        <v>1</v>
      </c>
      <c r="M510" s="186">
        <v>2625.69</v>
      </c>
      <c r="N510" s="186">
        <v>0</v>
      </c>
      <c r="O510" s="125">
        <f t="shared" si="40"/>
        <v>2625.69</v>
      </c>
      <c r="P510" s="164"/>
    </row>
    <row r="511" spans="1:17" ht="14.5" x14ac:dyDescent="0.35">
      <c r="A511" s="184" t="s">
        <v>155</v>
      </c>
      <c r="B511" s="184" t="s">
        <v>408</v>
      </c>
      <c r="C511" s="184" t="s">
        <v>65</v>
      </c>
      <c r="D511" s="185" t="s">
        <v>287</v>
      </c>
      <c r="E511" s="185">
        <v>15760</v>
      </c>
      <c r="F511" s="185" t="s">
        <v>149</v>
      </c>
      <c r="G511" s="184">
        <v>101001</v>
      </c>
      <c r="H511" s="184" t="s">
        <v>108</v>
      </c>
      <c r="I511" s="184" t="s">
        <v>294</v>
      </c>
      <c r="J511" s="184" t="s">
        <v>295</v>
      </c>
      <c r="K511" s="184" t="s">
        <v>295</v>
      </c>
      <c r="L511" s="185">
        <v>1</v>
      </c>
      <c r="M511" s="186">
        <v>5038186.1100000003</v>
      </c>
      <c r="N511" s="186">
        <v>5189000</v>
      </c>
      <c r="O511" s="125">
        <f t="shared" si="40"/>
        <v>-150813.88999999966</v>
      </c>
      <c r="P511" s="125"/>
      <c r="Q511" s="73">
        <f t="shared" ref="Q511:Q531" si="44">M511*$Q$7*1.141</f>
        <v>574857.03515100002</v>
      </c>
    </row>
    <row r="512" spans="1:17" ht="14.5" x14ac:dyDescent="0.35">
      <c r="A512" s="184" t="s">
        <v>155</v>
      </c>
      <c r="B512" s="184" t="s">
        <v>408</v>
      </c>
      <c r="C512" s="184" t="s">
        <v>65</v>
      </c>
      <c r="D512" s="185" t="s">
        <v>287</v>
      </c>
      <c r="E512" s="185">
        <v>15761</v>
      </c>
      <c r="F512" s="185" t="s">
        <v>149</v>
      </c>
      <c r="G512" s="184">
        <v>101002</v>
      </c>
      <c r="H512" s="184" t="s">
        <v>109</v>
      </c>
      <c r="I512" s="184" t="s">
        <v>294</v>
      </c>
      <c r="J512" s="184" t="s">
        <v>295</v>
      </c>
      <c r="K512" s="184" t="s">
        <v>295</v>
      </c>
      <c r="L512" s="185">
        <v>1</v>
      </c>
      <c r="M512" s="186">
        <v>48812.2</v>
      </c>
      <c r="N512" s="186">
        <v>0</v>
      </c>
      <c r="O512" s="125">
        <f t="shared" si="40"/>
        <v>48812.2</v>
      </c>
      <c r="P512" s="125"/>
      <c r="Q512" s="73">
        <f t="shared" si="44"/>
        <v>5569.4720200000002</v>
      </c>
    </row>
    <row r="513" spans="1:17" ht="14.5" x14ac:dyDescent="0.35">
      <c r="A513" s="184" t="s">
        <v>155</v>
      </c>
      <c r="B513" s="184" t="s">
        <v>408</v>
      </c>
      <c r="C513" s="184" t="s">
        <v>65</v>
      </c>
      <c r="D513" s="185" t="s">
        <v>287</v>
      </c>
      <c r="E513" s="185">
        <v>15762</v>
      </c>
      <c r="F513" s="185" t="s">
        <v>149</v>
      </c>
      <c r="G513" s="184">
        <v>101002</v>
      </c>
      <c r="H513" s="184" t="s">
        <v>109</v>
      </c>
      <c r="I513" s="184" t="s">
        <v>294</v>
      </c>
      <c r="J513" s="184" t="s">
        <v>349</v>
      </c>
      <c r="K513" s="184" t="s">
        <v>295</v>
      </c>
      <c r="L513" s="185">
        <v>1</v>
      </c>
      <c r="M513" s="186">
        <v>0</v>
      </c>
      <c r="N513" s="186">
        <v>139000</v>
      </c>
      <c r="O513" s="125">
        <f t="shared" si="40"/>
        <v>-139000</v>
      </c>
      <c r="P513" s="125"/>
      <c r="Q513" s="73">
        <f t="shared" si="44"/>
        <v>0</v>
      </c>
    </row>
    <row r="514" spans="1:17" ht="14.5" x14ac:dyDescent="0.35">
      <c r="A514" s="184" t="s">
        <v>155</v>
      </c>
      <c r="B514" s="184" t="s">
        <v>408</v>
      </c>
      <c r="C514" s="184" t="s">
        <v>65</v>
      </c>
      <c r="D514" s="185" t="s">
        <v>287</v>
      </c>
      <c r="E514" s="185">
        <v>15763</v>
      </c>
      <c r="F514" s="185" t="s">
        <v>149</v>
      </c>
      <c r="G514" s="184">
        <v>101039</v>
      </c>
      <c r="H514" s="184" t="s">
        <v>111</v>
      </c>
      <c r="I514" s="184" t="s">
        <v>294</v>
      </c>
      <c r="J514" s="184" t="s">
        <v>295</v>
      </c>
      <c r="K514" s="184" t="s">
        <v>295</v>
      </c>
      <c r="L514" s="185">
        <v>1</v>
      </c>
      <c r="M514" s="186">
        <v>85062.95</v>
      </c>
      <c r="N514" s="186">
        <v>5000</v>
      </c>
      <c r="O514" s="125">
        <f t="shared" si="40"/>
        <v>80062.95</v>
      </c>
      <c r="P514" s="125"/>
      <c r="Q514" s="73">
        <f t="shared" si="44"/>
        <v>9705.6825950000002</v>
      </c>
    </row>
    <row r="515" spans="1:17" ht="14.5" x14ac:dyDescent="0.35">
      <c r="A515" s="184" t="s">
        <v>155</v>
      </c>
      <c r="B515" s="184" t="s">
        <v>408</v>
      </c>
      <c r="C515" s="184" t="s">
        <v>65</v>
      </c>
      <c r="D515" s="185" t="s">
        <v>287</v>
      </c>
      <c r="E515" s="185">
        <v>15764</v>
      </c>
      <c r="F515" s="185" t="s">
        <v>149</v>
      </c>
      <c r="G515" s="184">
        <v>102002</v>
      </c>
      <c r="H515" s="184" t="s">
        <v>112</v>
      </c>
      <c r="I515" s="184" t="s">
        <v>294</v>
      </c>
      <c r="J515" s="184" t="s">
        <v>295</v>
      </c>
      <c r="K515" s="184" t="s">
        <v>295</v>
      </c>
      <c r="L515" s="185">
        <v>1</v>
      </c>
      <c r="M515" s="186">
        <v>18011.939999999999</v>
      </c>
      <c r="N515" s="186">
        <v>0</v>
      </c>
      <c r="O515" s="125">
        <f t="shared" si="40"/>
        <v>18011.939999999999</v>
      </c>
      <c r="P515" s="125"/>
      <c r="Q515" s="73">
        <f t="shared" si="44"/>
        <v>2055.1623540000001</v>
      </c>
    </row>
    <row r="516" spans="1:17" ht="14.5" x14ac:dyDescent="0.35">
      <c r="A516" s="184" t="s">
        <v>155</v>
      </c>
      <c r="B516" s="184" t="s">
        <v>408</v>
      </c>
      <c r="C516" s="184" t="s">
        <v>65</v>
      </c>
      <c r="D516" s="185" t="s">
        <v>287</v>
      </c>
      <c r="E516" s="185">
        <v>15765</v>
      </c>
      <c r="F516" s="185" t="s">
        <v>149</v>
      </c>
      <c r="G516" s="184">
        <v>102002</v>
      </c>
      <c r="H516" s="184" t="s">
        <v>112</v>
      </c>
      <c r="I516" s="184" t="s">
        <v>294</v>
      </c>
      <c r="J516" s="184" t="s">
        <v>349</v>
      </c>
      <c r="K516" s="184" t="s">
        <v>295</v>
      </c>
      <c r="L516" s="185">
        <v>1</v>
      </c>
      <c r="M516" s="186">
        <v>3613.34</v>
      </c>
      <c r="N516" s="186">
        <v>0</v>
      </c>
      <c r="O516" s="125">
        <f t="shared" si="40"/>
        <v>3613.34</v>
      </c>
      <c r="P516" s="125"/>
      <c r="Q516" s="73">
        <f t="shared" si="44"/>
        <v>412.28209400000009</v>
      </c>
    </row>
    <row r="517" spans="1:17" ht="14.5" x14ac:dyDescent="0.35">
      <c r="A517" s="184" t="s">
        <v>155</v>
      </c>
      <c r="B517" s="184" t="s">
        <v>408</v>
      </c>
      <c r="C517" s="184" t="s">
        <v>65</v>
      </c>
      <c r="D517" s="185" t="s">
        <v>287</v>
      </c>
      <c r="E517" s="185">
        <v>15766</v>
      </c>
      <c r="F517" s="185" t="s">
        <v>149</v>
      </c>
      <c r="G517" s="184">
        <v>102002</v>
      </c>
      <c r="H517" s="184" t="s">
        <v>112</v>
      </c>
      <c r="I517" s="184" t="s">
        <v>294</v>
      </c>
      <c r="J517" s="184" t="s">
        <v>347</v>
      </c>
      <c r="K517" s="184" t="s">
        <v>295</v>
      </c>
      <c r="L517" s="185">
        <v>1</v>
      </c>
      <c r="M517" s="186">
        <v>5158.1000000000004</v>
      </c>
      <c r="N517" s="186">
        <v>0</v>
      </c>
      <c r="O517" s="125">
        <f t="shared" si="40"/>
        <v>5158.1000000000004</v>
      </c>
      <c r="P517" s="125"/>
      <c r="Q517" s="73">
        <f t="shared" si="44"/>
        <v>588.53921000000003</v>
      </c>
    </row>
    <row r="518" spans="1:17" ht="14.5" x14ac:dyDescent="0.35">
      <c r="A518" s="184" t="s">
        <v>155</v>
      </c>
      <c r="B518" s="184" t="s">
        <v>408</v>
      </c>
      <c r="C518" s="184" t="s">
        <v>65</v>
      </c>
      <c r="D518" s="185" t="s">
        <v>287</v>
      </c>
      <c r="E518" s="185">
        <v>15767</v>
      </c>
      <c r="F518" s="185" t="s">
        <v>149</v>
      </c>
      <c r="G518" s="184">
        <v>102003</v>
      </c>
      <c r="H518" s="184" t="s">
        <v>110</v>
      </c>
      <c r="I518" s="184" t="s">
        <v>294</v>
      </c>
      <c r="J518" s="184" t="s">
        <v>295</v>
      </c>
      <c r="K518" s="184" t="s">
        <v>295</v>
      </c>
      <c r="L518" s="185">
        <v>1</v>
      </c>
      <c r="M518" s="186">
        <v>235659.68</v>
      </c>
      <c r="N518" s="186">
        <v>117000</v>
      </c>
      <c r="O518" s="125">
        <f t="shared" si="40"/>
        <v>118659.68</v>
      </c>
      <c r="P518" s="125"/>
      <c r="Q518" s="73">
        <f t="shared" si="44"/>
        <v>26888.769488000002</v>
      </c>
    </row>
    <row r="519" spans="1:17" ht="14.5" x14ac:dyDescent="0.35">
      <c r="A519" s="184" t="s">
        <v>155</v>
      </c>
      <c r="B519" s="184" t="s">
        <v>408</v>
      </c>
      <c r="C519" s="184" t="s">
        <v>65</v>
      </c>
      <c r="D519" s="185" t="s">
        <v>287</v>
      </c>
      <c r="E519" s="185">
        <v>15768</v>
      </c>
      <c r="F519" s="185" t="s">
        <v>149</v>
      </c>
      <c r="G519" s="184">
        <v>102003</v>
      </c>
      <c r="H519" s="184" t="s">
        <v>110</v>
      </c>
      <c r="I519" s="184" t="s">
        <v>294</v>
      </c>
      <c r="J519" s="184" t="s">
        <v>349</v>
      </c>
      <c r="K519" s="184" t="s">
        <v>295</v>
      </c>
      <c r="L519" s="185">
        <v>1</v>
      </c>
      <c r="M519" s="186">
        <v>112974</v>
      </c>
      <c r="N519" s="186">
        <v>0</v>
      </c>
      <c r="O519" s="125">
        <f t="shared" si="40"/>
        <v>112974</v>
      </c>
      <c r="P519" s="125"/>
      <c r="Q519" s="73">
        <f t="shared" si="44"/>
        <v>12890.333400000001</v>
      </c>
    </row>
    <row r="520" spans="1:17" ht="14.5" x14ac:dyDescent="0.35">
      <c r="A520" s="184" t="s">
        <v>155</v>
      </c>
      <c r="B520" s="184" t="s">
        <v>408</v>
      </c>
      <c r="C520" s="184" t="s">
        <v>65</v>
      </c>
      <c r="D520" s="185" t="s">
        <v>287</v>
      </c>
      <c r="E520" s="185">
        <v>15769</v>
      </c>
      <c r="F520" s="185" t="s">
        <v>149</v>
      </c>
      <c r="G520" s="184">
        <v>102005</v>
      </c>
      <c r="H520" s="184" t="s">
        <v>116</v>
      </c>
      <c r="I520" s="184" t="s">
        <v>294</v>
      </c>
      <c r="J520" s="184" t="s">
        <v>295</v>
      </c>
      <c r="K520" s="184" t="s">
        <v>295</v>
      </c>
      <c r="L520" s="185">
        <v>1</v>
      </c>
      <c r="M520" s="186">
        <v>56665.52</v>
      </c>
      <c r="N520" s="186">
        <v>0</v>
      </c>
      <c r="O520" s="125">
        <f t="shared" ref="O520:O583" si="45">M520-N520</f>
        <v>56665.52</v>
      </c>
      <c r="P520" s="125"/>
      <c r="Q520" s="73">
        <f t="shared" si="44"/>
        <v>6465.5358319999996</v>
      </c>
    </row>
    <row r="521" spans="1:17" ht="14.5" x14ac:dyDescent="0.35">
      <c r="A521" s="184" t="s">
        <v>155</v>
      </c>
      <c r="B521" s="184" t="s">
        <v>408</v>
      </c>
      <c r="C521" s="184" t="s">
        <v>65</v>
      </c>
      <c r="D521" s="185" t="s">
        <v>287</v>
      </c>
      <c r="E521" s="185">
        <v>15770</v>
      </c>
      <c r="F521" s="185" t="s">
        <v>149</v>
      </c>
      <c r="G521" s="184">
        <v>102005</v>
      </c>
      <c r="H521" s="184" t="s">
        <v>116</v>
      </c>
      <c r="I521" s="184" t="s">
        <v>294</v>
      </c>
      <c r="J521" s="184" t="s">
        <v>349</v>
      </c>
      <c r="K521" s="184" t="s">
        <v>295</v>
      </c>
      <c r="L521" s="185">
        <v>1</v>
      </c>
      <c r="M521" s="186">
        <v>18952.75</v>
      </c>
      <c r="N521" s="186">
        <v>0</v>
      </c>
      <c r="O521" s="125">
        <f t="shared" si="45"/>
        <v>18952.75</v>
      </c>
      <c r="P521" s="125"/>
      <c r="Q521" s="73">
        <f t="shared" si="44"/>
        <v>2162.5087750000002</v>
      </c>
    </row>
    <row r="522" spans="1:17" ht="14.5" x14ac:dyDescent="0.35">
      <c r="A522" s="184" t="s">
        <v>155</v>
      </c>
      <c r="B522" s="184" t="s">
        <v>408</v>
      </c>
      <c r="C522" s="184" t="s">
        <v>65</v>
      </c>
      <c r="D522" s="185" t="s">
        <v>287</v>
      </c>
      <c r="E522" s="185">
        <v>15771</v>
      </c>
      <c r="F522" s="185" t="s">
        <v>149</v>
      </c>
      <c r="G522" s="184">
        <v>102062</v>
      </c>
      <c r="H522" s="184" t="s">
        <v>117</v>
      </c>
      <c r="I522" s="184" t="s">
        <v>294</v>
      </c>
      <c r="J522" s="184" t="s">
        <v>295</v>
      </c>
      <c r="K522" s="184" t="s">
        <v>295</v>
      </c>
      <c r="L522" s="185">
        <v>1</v>
      </c>
      <c r="M522" s="186">
        <v>6912.33</v>
      </c>
      <c r="N522" s="186">
        <v>0</v>
      </c>
      <c r="O522" s="125">
        <f t="shared" si="45"/>
        <v>6912.33</v>
      </c>
      <c r="P522" s="125"/>
      <c r="Q522" s="73">
        <f t="shared" si="44"/>
        <v>788.69685300000003</v>
      </c>
    </row>
    <row r="523" spans="1:17" ht="14.5" x14ac:dyDescent="0.35">
      <c r="A523" s="184" t="s">
        <v>155</v>
      </c>
      <c r="B523" s="184" t="s">
        <v>408</v>
      </c>
      <c r="C523" s="184" t="s">
        <v>65</v>
      </c>
      <c r="D523" s="185" t="s">
        <v>287</v>
      </c>
      <c r="E523" s="185">
        <v>15772</v>
      </c>
      <c r="F523" s="185" t="s">
        <v>149</v>
      </c>
      <c r="G523" s="184">
        <v>103001</v>
      </c>
      <c r="H523" s="184" t="s">
        <v>113</v>
      </c>
      <c r="I523" s="184" t="s">
        <v>294</v>
      </c>
      <c r="J523" s="184" t="s">
        <v>295</v>
      </c>
      <c r="K523" s="184" t="s">
        <v>295</v>
      </c>
      <c r="L523" s="185">
        <v>1</v>
      </c>
      <c r="M523" s="186">
        <v>7697.78</v>
      </c>
      <c r="N523" s="186">
        <v>0</v>
      </c>
      <c r="O523" s="125">
        <f t="shared" si="45"/>
        <v>7697.78</v>
      </c>
      <c r="P523" s="125"/>
      <c r="Q523" s="73">
        <f t="shared" si="44"/>
        <v>878.31669800000009</v>
      </c>
    </row>
    <row r="524" spans="1:17" ht="14.5" x14ac:dyDescent="0.35">
      <c r="A524" s="184" t="s">
        <v>155</v>
      </c>
      <c r="B524" s="184" t="s">
        <v>408</v>
      </c>
      <c r="C524" s="184" t="s">
        <v>65</v>
      </c>
      <c r="D524" s="185" t="s">
        <v>287</v>
      </c>
      <c r="E524" s="185">
        <v>15773</v>
      </c>
      <c r="F524" s="185" t="s">
        <v>149</v>
      </c>
      <c r="G524" s="184">
        <v>103001</v>
      </c>
      <c r="H524" s="184" t="s">
        <v>113</v>
      </c>
      <c r="I524" s="184" t="s">
        <v>294</v>
      </c>
      <c r="J524" s="184" t="s">
        <v>349</v>
      </c>
      <c r="K524" s="184" t="s">
        <v>295</v>
      </c>
      <c r="L524" s="185">
        <v>1</v>
      </c>
      <c r="M524" s="186">
        <v>2954.95</v>
      </c>
      <c r="N524" s="186">
        <v>0</v>
      </c>
      <c r="O524" s="125">
        <f t="shared" si="45"/>
        <v>2954.95</v>
      </c>
      <c r="P524" s="125"/>
      <c r="Q524" s="73">
        <f t="shared" si="44"/>
        <v>337.15979500000003</v>
      </c>
    </row>
    <row r="525" spans="1:17" ht="14.5" x14ac:dyDescent="0.35">
      <c r="A525" s="184" t="s">
        <v>155</v>
      </c>
      <c r="B525" s="184" t="s">
        <v>408</v>
      </c>
      <c r="C525" s="184" t="s">
        <v>65</v>
      </c>
      <c r="D525" s="185" t="s">
        <v>287</v>
      </c>
      <c r="E525" s="185">
        <v>15774</v>
      </c>
      <c r="F525" s="185" t="s">
        <v>149</v>
      </c>
      <c r="G525" s="184">
        <v>103069</v>
      </c>
      <c r="H525" s="184" t="s">
        <v>225</v>
      </c>
      <c r="I525" s="184" t="s">
        <v>294</v>
      </c>
      <c r="J525" s="184" t="s">
        <v>295</v>
      </c>
      <c r="K525" s="184" t="s">
        <v>295</v>
      </c>
      <c r="L525" s="185">
        <v>1</v>
      </c>
      <c r="M525" s="186">
        <v>15232.13</v>
      </c>
      <c r="N525" s="186">
        <v>0</v>
      </c>
      <c r="O525" s="125">
        <f t="shared" si="45"/>
        <v>15232.13</v>
      </c>
      <c r="P525" s="125"/>
      <c r="Q525" s="73">
        <f t="shared" si="44"/>
        <v>1737.9860329999999</v>
      </c>
    </row>
    <row r="526" spans="1:17" ht="14.5" x14ac:dyDescent="0.35">
      <c r="A526" s="184" t="s">
        <v>155</v>
      </c>
      <c r="B526" s="184" t="s">
        <v>408</v>
      </c>
      <c r="C526" s="184" t="s">
        <v>65</v>
      </c>
      <c r="D526" s="185" t="s">
        <v>287</v>
      </c>
      <c r="E526" s="185">
        <v>15775</v>
      </c>
      <c r="F526" s="185" t="s">
        <v>149</v>
      </c>
      <c r="G526" s="184">
        <v>104000</v>
      </c>
      <c r="H526" s="184" t="s">
        <v>114</v>
      </c>
      <c r="I526" s="184" t="s">
        <v>294</v>
      </c>
      <c r="J526" s="184" t="s">
        <v>295</v>
      </c>
      <c r="K526" s="184" t="s">
        <v>295</v>
      </c>
      <c r="L526" s="185">
        <v>1</v>
      </c>
      <c r="M526" s="186">
        <v>28489.4</v>
      </c>
      <c r="N526" s="186">
        <v>38000</v>
      </c>
      <c r="O526" s="125">
        <f t="shared" si="45"/>
        <v>-9510.5999999999985</v>
      </c>
      <c r="P526" s="125"/>
      <c r="Q526" s="73">
        <f t="shared" si="44"/>
        <v>3250.6405400000008</v>
      </c>
    </row>
    <row r="527" spans="1:17" ht="14.5" x14ac:dyDescent="0.35">
      <c r="A527" s="184" t="s">
        <v>155</v>
      </c>
      <c r="B527" s="184" t="s">
        <v>408</v>
      </c>
      <c r="C527" s="184" t="s">
        <v>65</v>
      </c>
      <c r="D527" s="185" t="s">
        <v>287</v>
      </c>
      <c r="E527" s="185">
        <v>15776</v>
      </c>
      <c r="F527" s="185" t="s">
        <v>149</v>
      </c>
      <c r="G527" s="184">
        <v>104000</v>
      </c>
      <c r="H527" s="184" t="s">
        <v>114</v>
      </c>
      <c r="I527" s="184" t="s">
        <v>294</v>
      </c>
      <c r="J527" s="184" t="s">
        <v>349</v>
      </c>
      <c r="K527" s="184" t="s">
        <v>295</v>
      </c>
      <c r="L527" s="185">
        <v>1</v>
      </c>
      <c r="M527" s="186">
        <v>28174.54</v>
      </c>
      <c r="N527" s="186">
        <v>28000</v>
      </c>
      <c r="O527" s="125">
        <f t="shared" si="45"/>
        <v>174.54000000000087</v>
      </c>
      <c r="P527" s="125"/>
      <c r="Q527" s="73">
        <f t="shared" si="44"/>
        <v>3214.7150140000003</v>
      </c>
    </row>
    <row r="528" spans="1:17" ht="14.5" x14ac:dyDescent="0.35">
      <c r="A528" s="184" t="s">
        <v>155</v>
      </c>
      <c r="B528" s="184" t="s">
        <v>408</v>
      </c>
      <c r="C528" s="184" t="s">
        <v>65</v>
      </c>
      <c r="D528" s="185" t="s">
        <v>287</v>
      </c>
      <c r="E528" s="185">
        <v>15777</v>
      </c>
      <c r="F528" s="185" t="s">
        <v>149</v>
      </c>
      <c r="G528" s="184">
        <v>105003</v>
      </c>
      <c r="H528" s="184" t="s">
        <v>317</v>
      </c>
      <c r="I528" s="184" t="s">
        <v>294</v>
      </c>
      <c r="J528" s="184" t="s">
        <v>295</v>
      </c>
      <c r="K528" s="184" t="s">
        <v>295</v>
      </c>
      <c r="L528" s="185">
        <v>1</v>
      </c>
      <c r="M528" s="186">
        <v>194854.52</v>
      </c>
      <c r="N528" s="186">
        <v>0</v>
      </c>
      <c r="O528" s="125">
        <f t="shared" si="45"/>
        <v>194854.52</v>
      </c>
      <c r="P528" s="125"/>
      <c r="Q528" s="73">
        <f t="shared" si="44"/>
        <v>22232.900732000002</v>
      </c>
    </row>
    <row r="529" spans="1:17" ht="14.5" x14ac:dyDescent="0.35">
      <c r="A529" s="184" t="s">
        <v>155</v>
      </c>
      <c r="B529" s="184" t="s">
        <v>408</v>
      </c>
      <c r="C529" s="184" t="s">
        <v>65</v>
      </c>
      <c r="D529" s="185" t="s">
        <v>287</v>
      </c>
      <c r="E529" s="185">
        <v>15778</v>
      </c>
      <c r="F529" s="185" t="s">
        <v>149</v>
      </c>
      <c r="G529" s="184">
        <v>105019</v>
      </c>
      <c r="H529" s="184" t="s">
        <v>115</v>
      </c>
      <c r="I529" s="184" t="s">
        <v>294</v>
      </c>
      <c r="J529" s="184" t="s">
        <v>295</v>
      </c>
      <c r="K529" s="184" t="s">
        <v>295</v>
      </c>
      <c r="L529" s="185">
        <v>1</v>
      </c>
      <c r="M529" s="186">
        <v>256.14999999999998</v>
      </c>
      <c r="N529" s="186">
        <v>0</v>
      </c>
      <c r="O529" s="125">
        <f t="shared" si="45"/>
        <v>256.14999999999998</v>
      </c>
      <c r="P529" s="125"/>
      <c r="Q529" s="73">
        <f t="shared" si="44"/>
        <v>29.226714999999999</v>
      </c>
    </row>
    <row r="530" spans="1:17" ht="14.5" x14ac:dyDescent="0.35">
      <c r="A530" s="184" t="s">
        <v>155</v>
      </c>
      <c r="B530" s="184" t="s">
        <v>408</v>
      </c>
      <c r="C530" s="184" t="s">
        <v>65</v>
      </c>
      <c r="D530" s="185" t="s">
        <v>287</v>
      </c>
      <c r="E530" s="185">
        <v>15779</v>
      </c>
      <c r="F530" s="185" t="s">
        <v>149</v>
      </c>
      <c r="G530" s="184">
        <v>105098</v>
      </c>
      <c r="H530" s="184" t="s">
        <v>314</v>
      </c>
      <c r="I530" s="184" t="s">
        <v>294</v>
      </c>
      <c r="J530" s="184" t="s">
        <v>391</v>
      </c>
      <c r="K530" s="184" t="s">
        <v>295</v>
      </c>
      <c r="L530" s="185">
        <v>1</v>
      </c>
      <c r="M530" s="186">
        <v>-4392</v>
      </c>
      <c r="N530" s="186">
        <v>0</v>
      </c>
      <c r="O530" s="125">
        <f t="shared" si="45"/>
        <v>-4392</v>
      </c>
      <c r="P530" s="125"/>
      <c r="Q530" s="73">
        <f t="shared" si="44"/>
        <v>-501.12720000000007</v>
      </c>
    </row>
    <row r="531" spans="1:17" ht="14.5" x14ac:dyDescent="0.35">
      <c r="A531" s="184" t="s">
        <v>155</v>
      </c>
      <c r="B531" s="184" t="s">
        <v>408</v>
      </c>
      <c r="C531" s="184" t="s">
        <v>65</v>
      </c>
      <c r="D531" s="185" t="s">
        <v>287</v>
      </c>
      <c r="E531" s="185">
        <v>15780</v>
      </c>
      <c r="F531" s="185" t="s">
        <v>149</v>
      </c>
      <c r="G531" s="184">
        <v>105099</v>
      </c>
      <c r="H531" s="184" t="s">
        <v>107</v>
      </c>
      <c r="I531" s="184" t="s">
        <v>294</v>
      </c>
      <c r="J531" s="184" t="s">
        <v>392</v>
      </c>
      <c r="K531" s="184" t="s">
        <v>295</v>
      </c>
      <c r="L531" s="185">
        <v>1</v>
      </c>
      <c r="M531" s="186">
        <v>4392</v>
      </c>
      <c r="N531" s="186">
        <v>0</v>
      </c>
      <c r="O531" s="125">
        <f t="shared" si="45"/>
        <v>4392</v>
      </c>
      <c r="P531" s="125"/>
      <c r="Q531" s="73">
        <f t="shared" si="44"/>
        <v>501.12720000000007</v>
      </c>
    </row>
    <row r="532" spans="1:17" ht="14.5" x14ac:dyDescent="0.35">
      <c r="A532" s="184" t="s">
        <v>155</v>
      </c>
      <c r="B532" s="184" t="s">
        <v>408</v>
      </c>
      <c r="C532" s="184" t="s">
        <v>65</v>
      </c>
      <c r="D532" s="185" t="s">
        <v>287</v>
      </c>
      <c r="E532" s="185">
        <v>15781</v>
      </c>
      <c r="F532" s="185" t="s">
        <v>149</v>
      </c>
      <c r="G532" s="189">
        <v>109001</v>
      </c>
      <c r="H532" s="184" t="s">
        <v>105</v>
      </c>
      <c r="I532" s="184" t="s">
        <v>294</v>
      </c>
      <c r="J532" s="184" t="s">
        <v>295</v>
      </c>
      <c r="K532" s="184" t="s">
        <v>295</v>
      </c>
      <c r="L532" s="185">
        <v>1</v>
      </c>
      <c r="M532" s="186">
        <v>558928.76</v>
      </c>
      <c r="N532" s="186">
        <v>535000</v>
      </c>
      <c r="O532" s="125">
        <f t="shared" si="45"/>
        <v>23928.760000000009</v>
      </c>
      <c r="P532" s="164">
        <f t="shared" ref="P532:P534" si="46">M532*-1</f>
        <v>-558928.76</v>
      </c>
      <c r="Q532" s="164"/>
    </row>
    <row r="533" spans="1:17" ht="14.5" x14ac:dyDescent="0.35">
      <c r="A533" s="184" t="s">
        <v>155</v>
      </c>
      <c r="B533" s="184" t="s">
        <v>408</v>
      </c>
      <c r="C533" s="184" t="s">
        <v>65</v>
      </c>
      <c r="D533" s="185" t="s">
        <v>287</v>
      </c>
      <c r="E533" s="185">
        <v>15782</v>
      </c>
      <c r="F533" s="185" t="s">
        <v>149</v>
      </c>
      <c r="G533" s="189">
        <v>109001</v>
      </c>
      <c r="H533" s="184" t="s">
        <v>105</v>
      </c>
      <c r="I533" s="184" t="s">
        <v>294</v>
      </c>
      <c r="J533" s="184" t="s">
        <v>349</v>
      </c>
      <c r="K533" s="184" t="s">
        <v>295</v>
      </c>
      <c r="L533" s="185">
        <v>1</v>
      </c>
      <c r="M533" s="186">
        <v>13950.78</v>
      </c>
      <c r="N533" s="186">
        <v>14000</v>
      </c>
      <c r="O533" s="125">
        <f t="shared" si="45"/>
        <v>-49.219999999999345</v>
      </c>
      <c r="P533" s="164">
        <f t="shared" si="46"/>
        <v>-13950.78</v>
      </c>
      <c r="Q533" s="164"/>
    </row>
    <row r="534" spans="1:17" ht="14.5" x14ac:dyDescent="0.35">
      <c r="A534" s="184" t="s">
        <v>155</v>
      </c>
      <c r="B534" s="184" t="s">
        <v>408</v>
      </c>
      <c r="C534" s="184" t="s">
        <v>65</v>
      </c>
      <c r="D534" s="185" t="s">
        <v>287</v>
      </c>
      <c r="E534" s="185">
        <v>15783</v>
      </c>
      <c r="F534" s="185" t="s">
        <v>149</v>
      </c>
      <c r="G534" s="189">
        <v>109001</v>
      </c>
      <c r="H534" s="184" t="s">
        <v>105</v>
      </c>
      <c r="I534" s="184" t="s">
        <v>294</v>
      </c>
      <c r="J534" s="184" t="s">
        <v>347</v>
      </c>
      <c r="K534" s="184" t="s">
        <v>295</v>
      </c>
      <c r="L534" s="185">
        <v>1</v>
      </c>
      <c r="M534" s="186">
        <v>519.34</v>
      </c>
      <c r="N534" s="186">
        <v>0</v>
      </c>
      <c r="O534" s="125">
        <f t="shared" si="45"/>
        <v>519.34</v>
      </c>
      <c r="P534" s="164">
        <f t="shared" si="46"/>
        <v>-519.34</v>
      </c>
      <c r="Q534" s="164"/>
    </row>
    <row r="535" spans="1:17" ht="14.5" x14ac:dyDescent="0.35">
      <c r="A535" s="184" t="s">
        <v>155</v>
      </c>
      <c r="B535" s="184" t="s">
        <v>408</v>
      </c>
      <c r="C535" s="184" t="s">
        <v>65</v>
      </c>
      <c r="D535" s="185" t="s">
        <v>287</v>
      </c>
      <c r="E535" s="185">
        <v>15784</v>
      </c>
      <c r="F535" s="185" t="s">
        <v>149</v>
      </c>
      <c r="G535" s="189">
        <v>109901</v>
      </c>
      <c r="H535" s="184" t="s">
        <v>106</v>
      </c>
      <c r="I535" s="184" t="s">
        <v>294</v>
      </c>
      <c r="J535" s="184" t="s">
        <v>295</v>
      </c>
      <c r="K535" s="184" t="s">
        <v>295</v>
      </c>
      <c r="L535" s="185">
        <v>1</v>
      </c>
      <c r="M535" s="186">
        <v>861610.24</v>
      </c>
      <c r="N535" s="186">
        <v>830000</v>
      </c>
      <c r="O535" s="125">
        <f t="shared" si="45"/>
        <v>31610.239999999991</v>
      </c>
      <c r="P535" s="164"/>
    </row>
    <row r="536" spans="1:17" ht="14.5" x14ac:dyDescent="0.35">
      <c r="A536" s="184" t="s">
        <v>155</v>
      </c>
      <c r="B536" s="184" t="s">
        <v>408</v>
      </c>
      <c r="C536" s="184" t="s">
        <v>65</v>
      </c>
      <c r="D536" s="185" t="s">
        <v>287</v>
      </c>
      <c r="E536" s="185">
        <v>15785</v>
      </c>
      <c r="F536" s="185" t="s">
        <v>149</v>
      </c>
      <c r="G536" s="189">
        <v>109901</v>
      </c>
      <c r="H536" s="184" t="s">
        <v>106</v>
      </c>
      <c r="I536" s="184" t="s">
        <v>294</v>
      </c>
      <c r="J536" s="184" t="s">
        <v>349</v>
      </c>
      <c r="K536" s="184" t="s">
        <v>295</v>
      </c>
      <c r="L536" s="185">
        <v>1</v>
      </c>
      <c r="M536" s="186">
        <v>25467.45</v>
      </c>
      <c r="N536" s="186">
        <v>25000</v>
      </c>
      <c r="O536" s="125">
        <f t="shared" si="45"/>
        <v>467.45000000000073</v>
      </c>
      <c r="P536" s="164"/>
    </row>
    <row r="537" spans="1:17" ht="14.5" x14ac:dyDescent="0.35">
      <c r="A537" s="184" t="s">
        <v>155</v>
      </c>
      <c r="B537" s="184" t="s">
        <v>408</v>
      </c>
      <c r="C537" s="184" t="s">
        <v>65</v>
      </c>
      <c r="D537" s="185" t="s">
        <v>287</v>
      </c>
      <c r="E537" s="185">
        <v>15786</v>
      </c>
      <c r="F537" s="185" t="s">
        <v>149</v>
      </c>
      <c r="G537" s="189">
        <v>109901</v>
      </c>
      <c r="H537" s="184" t="s">
        <v>106</v>
      </c>
      <c r="I537" s="184" t="s">
        <v>294</v>
      </c>
      <c r="J537" s="184" t="s">
        <v>392</v>
      </c>
      <c r="K537" s="184" t="s">
        <v>295</v>
      </c>
      <c r="L537" s="185">
        <v>1</v>
      </c>
      <c r="M537" s="186">
        <v>619.32000000000005</v>
      </c>
      <c r="N537" s="186">
        <v>0</v>
      </c>
      <c r="O537" s="125">
        <f t="shared" si="45"/>
        <v>619.32000000000005</v>
      </c>
      <c r="P537" s="164"/>
    </row>
    <row r="538" spans="1:17" ht="14.5" x14ac:dyDescent="0.35">
      <c r="A538" s="184" t="s">
        <v>155</v>
      </c>
      <c r="B538" s="184" t="s">
        <v>408</v>
      </c>
      <c r="C538" s="184" t="s">
        <v>65</v>
      </c>
      <c r="D538" s="185" t="s">
        <v>287</v>
      </c>
      <c r="E538" s="185">
        <v>15787</v>
      </c>
      <c r="F538" s="185" t="s">
        <v>149</v>
      </c>
      <c r="G538" s="189">
        <v>109901</v>
      </c>
      <c r="H538" s="184" t="s">
        <v>106</v>
      </c>
      <c r="I538" s="184" t="s">
        <v>294</v>
      </c>
      <c r="J538" s="184" t="s">
        <v>347</v>
      </c>
      <c r="K538" s="184" t="s">
        <v>295</v>
      </c>
      <c r="L538" s="185">
        <v>1</v>
      </c>
      <c r="M538" s="186">
        <v>800.52</v>
      </c>
      <c r="N538" s="186">
        <v>0</v>
      </c>
      <c r="O538" s="125">
        <f t="shared" si="45"/>
        <v>800.52</v>
      </c>
      <c r="P538" s="164"/>
    </row>
    <row r="539" spans="1:17" ht="14.5" x14ac:dyDescent="0.35">
      <c r="A539" s="184" t="s">
        <v>155</v>
      </c>
      <c r="B539" s="184" t="s">
        <v>409</v>
      </c>
      <c r="C539" s="184" t="s">
        <v>66</v>
      </c>
      <c r="D539" s="185" t="s">
        <v>287</v>
      </c>
      <c r="E539" s="185">
        <v>15885</v>
      </c>
      <c r="F539" s="185" t="s">
        <v>149</v>
      </c>
      <c r="G539" s="184">
        <v>101001</v>
      </c>
      <c r="H539" s="184" t="s">
        <v>108</v>
      </c>
      <c r="I539" s="184" t="s">
        <v>294</v>
      </c>
      <c r="J539" s="184" t="s">
        <v>295</v>
      </c>
      <c r="K539" s="184" t="s">
        <v>295</v>
      </c>
      <c r="L539" s="185">
        <v>1</v>
      </c>
      <c r="M539" s="186">
        <v>5656116.29</v>
      </c>
      <c r="N539" s="186">
        <v>5777000</v>
      </c>
      <c r="O539" s="125">
        <f t="shared" si="45"/>
        <v>-120883.70999999996</v>
      </c>
      <c r="P539" s="125"/>
      <c r="Q539" s="73">
        <f t="shared" ref="Q539:Q562" si="47">M539*$Q$7*1.141</f>
        <v>645362.86868900014</v>
      </c>
    </row>
    <row r="540" spans="1:17" ht="14.5" x14ac:dyDescent="0.35">
      <c r="A540" s="184" t="s">
        <v>155</v>
      </c>
      <c r="B540" s="184" t="s">
        <v>409</v>
      </c>
      <c r="C540" s="184" t="s">
        <v>66</v>
      </c>
      <c r="D540" s="185" t="s">
        <v>287</v>
      </c>
      <c r="E540" s="185">
        <v>15886</v>
      </c>
      <c r="F540" s="185" t="s">
        <v>149</v>
      </c>
      <c r="G540" s="184">
        <v>101001</v>
      </c>
      <c r="H540" s="184" t="s">
        <v>108</v>
      </c>
      <c r="I540" s="184" t="s">
        <v>294</v>
      </c>
      <c r="J540" s="184" t="s">
        <v>347</v>
      </c>
      <c r="K540" s="184" t="s">
        <v>295</v>
      </c>
      <c r="L540" s="185">
        <v>1</v>
      </c>
      <c r="M540" s="186">
        <v>28542.5</v>
      </c>
      <c r="N540" s="186">
        <v>0</v>
      </c>
      <c r="O540" s="125">
        <f t="shared" si="45"/>
        <v>28542.5</v>
      </c>
      <c r="P540" s="125"/>
      <c r="Q540" s="73">
        <f t="shared" si="47"/>
        <v>3256.6992500000001</v>
      </c>
    </row>
    <row r="541" spans="1:17" ht="14.5" x14ac:dyDescent="0.35">
      <c r="A541" s="184" t="s">
        <v>155</v>
      </c>
      <c r="B541" s="184" t="s">
        <v>409</v>
      </c>
      <c r="C541" s="184" t="s">
        <v>66</v>
      </c>
      <c r="D541" s="185" t="s">
        <v>287</v>
      </c>
      <c r="E541" s="185">
        <v>15887</v>
      </c>
      <c r="F541" s="185" t="s">
        <v>149</v>
      </c>
      <c r="G541" s="184">
        <v>101002</v>
      </c>
      <c r="H541" s="184" t="s">
        <v>109</v>
      </c>
      <c r="I541" s="184" t="s">
        <v>294</v>
      </c>
      <c r="J541" s="184" t="s">
        <v>295</v>
      </c>
      <c r="K541" s="184" t="s">
        <v>295</v>
      </c>
      <c r="L541" s="185">
        <v>1</v>
      </c>
      <c r="M541" s="186">
        <v>-7306.59</v>
      </c>
      <c r="N541" s="186">
        <v>0</v>
      </c>
      <c r="O541" s="125">
        <f t="shared" si="45"/>
        <v>-7306.59</v>
      </c>
      <c r="P541" s="125"/>
      <c r="Q541" s="73">
        <f t="shared" si="47"/>
        <v>-833.68191900000011</v>
      </c>
    </row>
    <row r="542" spans="1:17" ht="14.5" x14ac:dyDescent="0.35">
      <c r="A542" s="184" t="s">
        <v>155</v>
      </c>
      <c r="B542" s="184" t="s">
        <v>409</v>
      </c>
      <c r="C542" s="184" t="s">
        <v>66</v>
      </c>
      <c r="D542" s="185" t="s">
        <v>287</v>
      </c>
      <c r="E542" s="185">
        <v>15888</v>
      </c>
      <c r="F542" s="185" t="s">
        <v>149</v>
      </c>
      <c r="G542" s="184">
        <v>101002</v>
      </c>
      <c r="H542" s="184" t="s">
        <v>109</v>
      </c>
      <c r="I542" s="184" t="s">
        <v>294</v>
      </c>
      <c r="J542" s="184" t="s">
        <v>349</v>
      </c>
      <c r="K542" s="184" t="s">
        <v>295</v>
      </c>
      <c r="L542" s="185">
        <v>1</v>
      </c>
      <c r="M542" s="186">
        <v>0</v>
      </c>
      <c r="N542" s="186">
        <v>33000</v>
      </c>
      <c r="O542" s="125">
        <f t="shared" si="45"/>
        <v>-33000</v>
      </c>
      <c r="P542" s="125"/>
      <c r="Q542" s="73">
        <f t="shared" si="47"/>
        <v>0</v>
      </c>
    </row>
    <row r="543" spans="1:17" ht="14.5" x14ac:dyDescent="0.35">
      <c r="A543" s="184" t="s">
        <v>155</v>
      </c>
      <c r="B543" s="184" t="s">
        <v>409</v>
      </c>
      <c r="C543" s="184" t="s">
        <v>66</v>
      </c>
      <c r="D543" s="185" t="s">
        <v>287</v>
      </c>
      <c r="E543" s="185">
        <v>15889</v>
      </c>
      <c r="F543" s="185" t="s">
        <v>149</v>
      </c>
      <c r="G543" s="184">
        <v>101039</v>
      </c>
      <c r="H543" s="184" t="s">
        <v>111</v>
      </c>
      <c r="I543" s="184" t="s">
        <v>294</v>
      </c>
      <c r="J543" s="184" t="s">
        <v>295</v>
      </c>
      <c r="K543" s="184" t="s">
        <v>295</v>
      </c>
      <c r="L543" s="185">
        <v>1</v>
      </c>
      <c r="M543" s="186">
        <v>164740.66</v>
      </c>
      <c r="N543" s="186">
        <v>5000</v>
      </c>
      <c r="O543" s="125">
        <f t="shared" si="45"/>
        <v>159740.66</v>
      </c>
      <c r="P543" s="125"/>
      <c r="Q543" s="73">
        <f t="shared" si="47"/>
        <v>18796.909306000001</v>
      </c>
    </row>
    <row r="544" spans="1:17" ht="14.5" x14ac:dyDescent="0.35">
      <c r="A544" s="184" t="s">
        <v>155</v>
      </c>
      <c r="B544" s="184" t="s">
        <v>409</v>
      </c>
      <c r="C544" s="184" t="s">
        <v>66</v>
      </c>
      <c r="D544" s="185" t="s">
        <v>287</v>
      </c>
      <c r="E544" s="185">
        <v>15890</v>
      </c>
      <c r="F544" s="185" t="s">
        <v>149</v>
      </c>
      <c r="G544" s="184">
        <v>101039</v>
      </c>
      <c r="H544" s="184" t="s">
        <v>111</v>
      </c>
      <c r="I544" s="184" t="s">
        <v>294</v>
      </c>
      <c r="J544" s="184" t="s">
        <v>347</v>
      </c>
      <c r="K544" s="184" t="s">
        <v>295</v>
      </c>
      <c r="L544" s="185">
        <v>1</v>
      </c>
      <c r="M544" s="186">
        <v>1855.16</v>
      </c>
      <c r="N544" s="186">
        <v>0</v>
      </c>
      <c r="O544" s="125">
        <f t="shared" si="45"/>
        <v>1855.16</v>
      </c>
      <c r="P544" s="125"/>
      <c r="Q544" s="73">
        <f t="shared" si="47"/>
        <v>211.67375600000003</v>
      </c>
    </row>
    <row r="545" spans="1:17" ht="14.5" x14ac:dyDescent="0.35">
      <c r="A545" s="184" t="s">
        <v>155</v>
      </c>
      <c r="B545" s="184" t="s">
        <v>409</v>
      </c>
      <c r="C545" s="184" t="s">
        <v>66</v>
      </c>
      <c r="D545" s="185" t="s">
        <v>287</v>
      </c>
      <c r="E545" s="185">
        <v>15891</v>
      </c>
      <c r="F545" s="185" t="s">
        <v>149</v>
      </c>
      <c r="G545" s="184">
        <v>102002</v>
      </c>
      <c r="H545" s="184" t="s">
        <v>112</v>
      </c>
      <c r="I545" s="184" t="s">
        <v>294</v>
      </c>
      <c r="J545" s="184" t="s">
        <v>295</v>
      </c>
      <c r="K545" s="184" t="s">
        <v>295</v>
      </c>
      <c r="L545" s="185">
        <v>1</v>
      </c>
      <c r="M545" s="186">
        <v>1427.58</v>
      </c>
      <c r="N545" s="186">
        <v>0</v>
      </c>
      <c r="O545" s="125">
        <f t="shared" si="45"/>
        <v>1427.58</v>
      </c>
      <c r="P545" s="125"/>
      <c r="Q545" s="73">
        <f t="shared" si="47"/>
        <v>162.88687800000002</v>
      </c>
    </row>
    <row r="546" spans="1:17" ht="14.5" x14ac:dyDescent="0.35">
      <c r="A546" s="184" t="s">
        <v>155</v>
      </c>
      <c r="B546" s="184" t="s">
        <v>409</v>
      </c>
      <c r="C546" s="184" t="s">
        <v>66</v>
      </c>
      <c r="D546" s="185" t="s">
        <v>287</v>
      </c>
      <c r="E546" s="185">
        <v>15892</v>
      </c>
      <c r="F546" s="185" t="s">
        <v>149</v>
      </c>
      <c r="G546" s="184">
        <v>102002</v>
      </c>
      <c r="H546" s="184" t="s">
        <v>112</v>
      </c>
      <c r="I546" s="184" t="s">
        <v>294</v>
      </c>
      <c r="J546" s="184" t="s">
        <v>348</v>
      </c>
      <c r="K546" s="184" t="s">
        <v>295</v>
      </c>
      <c r="L546" s="185">
        <v>1</v>
      </c>
      <c r="M546" s="186">
        <v>8689.2900000000009</v>
      </c>
      <c r="N546" s="186">
        <v>0</v>
      </c>
      <c r="O546" s="125">
        <f t="shared" si="45"/>
        <v>8689.2900000000009</v>
      </c>
      <c r="P546" s="125"/>
      <c r="Q546" s="73">
        <f t="shared" si="47"/>
        <v>991.44798900000012</v>
      </c>
    </row>
    <row r="547" spans="1:17" ht="14.5" x14ac:dyDescent="0.35">
      <c r="A547" s="184" t="s">
        <v>155</v>
      </c>
      <c r="B547" s="184" t="s">
        <v>409</v>
      </c>
      <c r="C547" s="184" t="s">
        <v>66</v>
      </c>
      <c r="D547" s="185" t="s">
        <v>287</v>
      </c>
      <c r="E547" s="185">
        <v>15893</v>
      </c>
      <c r="F547" s="185" t="s">
        <v>149</v>
      </c>
      <c r="G547" s="184">
        <v>102003</v>
      </c>
      <c r="H547" s="184" t="s">
        <v>110</v>
      </c>
      <c r="I547" s="184" t="s">
        <v>294</v>
      </c>
      <c r="J547" s="184" t="s">
        <v>295</v>
      </c>
      <c r="K547" s="184" t="s">
        <v>295</v>
      </c>
      <c r="L547" s="185">
        <v>1</v>
      </c>
      <c r="M547" s="186">
        <v>308596.09000000003</v>
      </c>
      <c r="N547" s="186">
        <v>132000</v>
      </c>
      <c r="O547" s="125">
        <f t="shared" si="45"/>
        <v>176596.09000000003</v>
      </c>
      <c r="P547" s="125"/>
      <c r="Q547" s="73">
        <f t="shared" si="47"/>
        <v>35210.813869000005</v>
      </c>
    </row>
    <row r="548" spans="1:17" ht="14.5" x14ac:dyDescent="0.35">
      <c r="A548" s="184" t="s">
        <v>155</v>
      </c>
      <c r="B548" s="184" t="s">
        <v>409</v>
      </c>
      <c r="C548" s="184" t="s">
        <v>66</v>
      </c>
      <c r="D548" s="185" t="s">
        <v>287</v>
      </c>
      <c r="E548" s="185">
        <v>15894</v>
      </c>
      <c r="F548" s="185" t="s">
        <v>149</v>
      </c>
      <c r="G548" s="184">
        <v>102003</v>
      </c>
      <c r="H548" s="184" t="s">
        <v>110</v>
      </c>
      <c r="I548" s="184" t="s">
        <v>294</v>
      </c>
      <c r="J548" s="184" t="s">
        <v>349</v>
      </c>
      <c r="K548" s="184" t="s">
        <v>295</v>
      </c>
      <c r="L548" s="185">
        <v>1</v>
      </c>
      <c r="M548" s="186">
        <v>33477.97</v>
      </c>
      <c r="N548" s="186">
        <v>0</v>
      </c>
      <c r="O548" s="125">
        <f t="shared" si="45"/>
        <v>33477.97</v>
      </c>
      <c r="P548" s="125"/>
      <c r="Q548" s="73">
        <f t="shared" si="47"/>
        <v>3819.8363770000005</v>
      </c>
    </row>
    <row r="549" spans="1:17" ht="14.5" x14ac:dyDescent="0.35">
      <c r="A549" s="184" t="s">
        <v>155</v>
      </c>
      <c r="B549" s="184" t="s">
        <v>409</v>
      </c>
      <c r="C549" s="184" t="s">
        <v>66</v>
      </c>
      <c r="D549" s="185" t="s">
        <v>287</v>
      </c>
      <c r="E549" s="185">
        <v>15895</v>
      </c>
      <c r="F549" s="185" t="s">
        <v>149</v>
      </c>
      <c r="G549" s="184">
        <v>102003</v>
      </c>
      <c r="H549" s="184" t="s">
        <v>110</v>
      </c>
      <c r="I549" s="184" t="s">
        <v>294</v>
      </c>
      <c r="J549" s="184" t="s">
        <v>348</v>
      </c>
      <c r="K549" s="184" t="s">
        <v>295</v>
      </c>
      <c r="L549" s="185">
        <v>1</v>
      </c>
      <c r="M549" s="186">
        <v>1452.53</v>
      </c>
      <c r="N549" s="186">
        <v>0</v>
      </c>
      <c r="O549" s="125">
        <f t="shared" si="45"/>
        <v>1452.53</v>
      </c>
      <c r="P549" s="125"/>
      <c r="Q549" s="73">
        <f t="shared" si="47"/>
        <v>165.73367300000001</v>
      </c>
    </row>
    <row r="550" spans="1:17" ht="14.5" x14ac:dyDescent="0.35">
      <c r="A550" s="184" t="s">
        <v>155</v>
      </c>
      <c r="B550" s="184" t="s">
        <v>409</v>
      </c>
      <c r="C550" s="184" t="s">
        <v>66</v>
      </c>
      <c r="D550" s="185" t="s">
        <v>287</v>
      </c>
      <c r="E550" s="185">
        <v>15896</v>
      </c>
      <c r="F550" s="185" t="s">
        <v>149</v>
      </c>
      <c r="G550" s="184">
        <v>102005</v>
      </c>
      <c r="H550" s="184" t="s">
        <v>116</v>
      </c>
      <c r="I550" s="184" t="s">
        <v>294</v>
      </c>
      <c r="J550" s="184" t="s">
        <v>295</v>
      </c>
      <c r="K550" s="184" t="s">
        <v>295</v>
      </c>
      <c r="L550" s="185">
        <v>1</v>
      </c>
      <c r="M550" s="186">
        <v>23333.8</v>
      </c>
      <c r="N550" s="186">
        <v>0</v>
      </c>
      <c r="O550" s="125">
        <f t="shared" si="45"/>
        <v>23333.8</v>
      </c>
      <c r="P550" s="125"/>
      <c r="Q550" s="73">
        <f t="shared" si="47"/>
        <v>2662.3865800000003</v>
      </c>
    </row>
    <row r="551" spans="1:17" ht="14.5" x14ac:dyDescent="0.35">
      <c r="A551" s="184" t="s">
        <v>155</v>
      </c>
      <c r="B551" s="184" t="s">
        <v>409</v>
      </c>
      <c r="C551" s="184" t="s">
        <v>66</v>
      </c>
      <c r="D551" s="185" t="s">
        <v>287</v>
      </c>
      <c r="E551" s="185">
        <v>15897</v>
      </c>
      <c r="F551" s="185" t="s">
        <v>149</v>
      </c>
      <c r="G551" s="184">
        <v>102062</v>
      </c>
      <c r="H551" s="184" t="s">
        <v>117</v>
      </c>
      <c r="I551" s="184" t="s">
        <v>294</v>
      </c>
      <c r="J551" s="184" t="s">
        <v>295</v>
      </c>
      <c r="K551" s="184" t="s">
        <v>295</v>
      </c>
      <c r="L551" s="185">
        <v>1</v>
      </c>
      <c r="M551" s="186">
        <v>7019.29</v>
      </c>
      <c r="N551" s="186">
        <v>0</v>
      </c>
      <c r="O551" s="125">
        <f t="shared" si="45"/>
        <v>7019.29</v>
      </c>
      <c r="P551" s="125"/>
      <c r="Q551" s="73">
        <f t="shared" si="47"/>
        <v>800.9009890000001</v>
      </c>
    </row>
    <row r="552" spans="1:17" ht="14.5" x14ac:dyDescent="0.35">
      <c r="A552" s="184" t="s">
        <v>155</v>
      </c>
      <c r="B552" s="184" t="s">
        <v>409</v>
      </c>
      <c r="C552" s="184" t="s">
        <v>66</v>
      </c>
      <c r="D552" s="185" t="s">
        <v>287</v>
      </c>
      <c r="E552" s="185">
        <v>15898</v>
      </c>
      <c r="F552" s="185" t="s">
        <v>149</v>
      </c>
      <c r="G552" s="184">
        <v>102062</v>
      </c>
      <c r="H552" s="184" t="s">
        <v>117</v>
      </c>
      <c r="I552" s="184" t="s">
        <v>294</v>
      </c>
      <c r="J552" s="184" t="s">
        <v>348</v>
      </c>
      <c r="K552" s="184" t="s">
        <v>295</v>
      </c>
      <c r="L552" s="185">
        <v>1</v>
      </c>
      <c r="M552" s="186">
        <v>62.72</v>
      </c>
      <c r="N552" s="186">
        <v>0</v>
      </c>
      <c r="O552" s="125">
        <f t="shared" si="45"/>
        <v>62.72</v>
      </c>
      <c r="P552" s="125"/>
      <c r="Q552" s="73">
        <f t="shared" si="47"/>
        <v>7.156352</v>
      </c>
    </row>
    <row r="553" spans="1:17" ht="14.5" x14ac:dyDescent="0.35">
      <c r="A553" s="184" t="s">
        <v>155</v>
      </c>
      <c r="B553" s="184" t="s">
        <v>409</v>
      </c>
      <c r="C553" s="184" t="s">
        <v>66</v>
      </c>
      <c r="D553" s="185" t="s">
        <v>287</v>
      </c>
      <c r="E553" s="185">
        <v>15899</v>
      </c>
      <c r="F553" s="185" t="s">
        <v>149</v>
      </c>
      <c r="G553" s="184">
        <v>103001</v>
      </c>
      <c r="H553" s="184" t="s">
        <v>113</v>
      </c>
      <c r="I553" s="184" t="s">
        <v>294</v>
      </c>
      <c r="J553" s="184" t="s">
        <v>295</v>
      </c>
      <c r="K553" s="184" t="s">
        <v>295</v>
      </c>
      <c r="L553" s="185">
        <v>1</v>
      </c>
      <c r="M553" s="186">
        <v>18890.79</v>
      </c>
      <c r="N553" s="186">
        <v>0</v>
      </c>
      <c r="O553" s="125">
        <f t="shared" si="45"/>
        <v>18890.79</v>
      </c>
      <c r="P553" s="125"/>
      <c r="Q553" s="73">
        <f t="shared" si="47"/>
        <v>2155.4391390000001</v>
      </c>
    </row>
    <row r="554" spans="1:17" ht="14.5" x14ac:dyDescent="0.35">
      <c r="A554" s="184" t="s">
        <v>155</v>
      </c>
      <c r="B554" s="184" t="s">
        <v>409</v>
      </c>
      <c r="C554" s="184" t="s">
        <v>66</v>
      </c>
      <c r="D554" s="185" t="s">
        <v>287</v>
      </c>
      <c r="E554" s="185">
        <v>15900</v>
      </c>
      <c r="F554" s="185" t="s">
        <v>149</v>
      </c>
      <c r="G554" s="184">
        <v>103001</v>
      </c>
      <c r="H554" s="184" t="s">
        <v>113</v>
      </c>
      <c r="I554" s="184" t="s">
        <v>294</v>
      </c>
      <c r="J554" s="184" t="s">
        <v>348</v>
      </c>
      <c r="K554" s="184" t="s">
        <v>295</v>
      </c>
      <c r="L554" s="185">
        <v>1</v>
      </c>
      <c r="M554" s="186">
        <v>32678.16</v>
      </c>
      <c r="N554" s="186">
        <v>0</v>
      </c>
      <c r="O554" s="125">
        <f t="shared" si="45"/>
        <v>32678.16</v>
      </c>
      <c r="P554" s="125"/>
      <c r="Q554" s="73">
        <f t="shared" si="47"/>
        <v>3728.5780560000003</v>
      </c>
    </row>
    <row r="555" spans="1:17" ht="14.5" x14ac:dyDescent="0.35">
      <c r="A555" s="184" t="s">
        <v>155</v>
      </c>
      <c r="B555" s="184" t="s">
        <v>409</v>
      </c>
      <c r="C555" s="184" t="s">
        <v>66</v>
      </c>
      <c r="D555" s="185" t="s">
        <v>287</v>
      </c>
      <c r="E555" s="185">
        <v>15901</v>
      </c>
      <c r="F555" s="185" t="s">
        <v>149</v>
      </c>
      <c r="G555" s="184">
        <v>103062</v>
      </c>
      <c r="H555" s="184" t="s">
        <v>118</v>
      </c>
      <c r="I555" s="184" t="s">
        <v>294</v>
      </c>
      <c r="J555" s="184" t="s">
        <v>295</v>
      </c>
      <c r="K555" s="184" t="s">
        <v>295</v>
      </c>
      <c r="L555" s="185">
        <v>1</v>
      </c>
      <c r="M555" s="186">
        <v>250.88</v>
      </c>
      <c r="N555" s="186">
        <v>0</v>
      </c>
      <c r="O555" s="125">
        <f t="shared" si="45"/>
        <v>250.88</v>
      </c>
      <c r="P555" s="125"/>
      <c r="Q555" s="73">
        <f t="shared" si="47"/>
        <v>28.625408</v>
      </c>
    </row>
    <row r="556" spans="1:17" ht="14.5" x14ac:dyDescent="0.35">
      <c r="A556" s="184" t="s">
        <v>155</v>
      </c>
      <c r="B556" s="184" t="s">
        <v>409</v>
      </c>
      <c r="C556" s="184" t="s">
        <v>66</v>
      </c>
      <c r="D556" s="185" t="s">
        <v>287</v>
      </c>
      <c r="E556" s="185">
        <v>15902</v>
      </c>
      <c r="F556" s="185" t="s">
        <v>149</v>
      </c>
      <c r="G556" s="184">
        <v>103069</v>
      </c>
      <c r="H556" s="184" t="s">
        <v>225</v>
      </c>
      <c r="I556" s="184" t="s">
        <v>294</v>
      </c>
      <c r="J556" s="184" t="s">
        <v>295</v>
      </c>
      <c r="K556" s="184" t="s">
        <v>295</v>
      </c>
      <c r="L556" s="185">
        <v>1</v>
      </c>
      <c r="M556" s="186">
        <v>17776.77</v>
      </c>
      <c r="N556" s="186">
        <v>0</v>
      </c>
      <c r="O556" s="125">
        <f t="shared" si="45"/>
        <v>17776.77</v>
      </c>
      <c r="P556" s="125"/>
      <c r="Q556" s="73">
        <f t="shared" si="47"/>
        <v>2028.3294570000003</v>
      </c>
    </row>
    <row r="557" spans="1:17" ht="14.5" x14ac:dyDescent="0.35">
      <c r="A557" s="184" t="s">
        <v>155</v>
      </c>
      <c r="B557" s="184" t="s">
        <v>409</v>
      </c>
      <c r="C557" s="184" t="s">
        <v>66</v>
      </c>
      <c r="D557" s="185" t="s">
        <v>287</v>
      </c>
      <c r="E557" s="185">
        <v>15903</v>
      </c>
      <c r="F557" s="185" t="s">
        <v>149</v>
      </c>
      <c r="G557" s="184">
        <v>104000</v>
      </c>
      <c r="H557" s="184" t="s">
        <v>114</v>
      </c>
      <c r="I557" s="184" t="s">
        <v>294</v>
      </c>
      <c r="J557" s="184" t="s">
        <v>295</v>
      </c>
      <c r="K557" s="184" t="s">
        <v>295</v>
      </c>
      <c r="L557" s="185">
        <v>1</v>
      </c>
      <c r="M557" s="186">
        <v>39279.4</v>
      </c>
      <c r="N557" s="186">
        <v>45000</v>
      </c>
      <c r="O557" s="125">
        <f t="shared" si="45"/>
        <v>-5720.5999999999985</v>
      </c>
      <c r="P557" s="125"/>
      <c r="Q557" s="73">
        <f t="shared" si="47"/>
        <v>4481.7795400000005</v>
      </c>
    </row>
    <row r="558" spans="1:17" ht="14.5" x14ac:dyDescent="0.35">
      <c r="A558" s="184" t="s">
        <v>155</v>
      </c>
      <c r="B558" s="184" t="s">
        <v>409</v>
      </c>
      <c r="C558" s="184" t="s">
        <v>66</v>
      </c>
      <c r="D558" s="185" t="s">
        <v>287</v>
      </c>
      <c r="E558" s="185">
        <v>15904</v>
      </c>
      <c r="F558" s="185" t="s">
        <v>149</v>
      </c>
      <c r="G558" s="184">
        <v>104000</v>
      </c>
      <c r="H558" s="184" t="s">
        <v>114</v>
      </c>
      <c r="I558" s="184" t="s">
        <v>294</v>
      </c>
      <c r="J558" s="184" t="s">
        <v>349</v>
      </c>
      <c r="K558" s="184" t="s">
        <v>295</v>
      </c>
      <c r="L558" s="185">
        <v>1</v>
      </c>
      <c r="M558" s="186">
        <v>1939.15</v>
      </c>
      <c r="N558" s="186">
        <v>2000</v>
      </c>
      <c r="O558" s="125">
        <f t="shared" si="45"/>
        <v>-60.849999999999909</v>
      </c>
      <c r="P558" s="125"/>
      <c r="Q558" s="73">
        <f t="shared" si="47"/>
        <v>221.25701500000002</v>
      </c>
    </row>
    <row r="559" spans="1:17" ht="14.5" x14ac:dyDescent="0.35">
      <c r="A559" s="184" t="s">
        <v>155</v>
      </c>
      <c r="B559" s="184" t="s">
        <v>409</v>
      </c>
      <c r="C559" s="184" t="s">
        <v>66</v>
      </c>
      <c r="D559" s="185" t="s">
        <v>287</v>
      </c>
      <c r="E559" s="185">
        <v>15905</v>
      </c>
      <c r="F559" s="185" t="s">
        <v>149</v>
      </c>
      <c r="G559" s="184">
        <v>104000</v>
      </c>
      <c r="H559" s="184" t="s">
        <v>114</v>
      </c>
      <c r="I559" s="184" t="s">
        <v>294</v>
      </c>
      <c r="J559" s="184" t="s">
        <v>348</v>
      </c>
      <c r="K559" s="184" t="s">
        <v>295</v>
      </c>
      <c r="L559" s="185">
        <v>1</v>
      </c>
      <c r="M559" s="186">
        <v>946.47</v>
      </c>
      <c r="N559" s="186">
        <v>0</v>
      </c>
      <c r="O559" s="125">
        <f t="shared" si="45"/>
        <v>946.47</v>
      </c>
      <c r="P559" s="125"/>
      <c r="Q559" s="73">
        <f t="shared" si="47"/>
        <v>107.99222700000001</v>
      </c>
    </row>
    <row r="560" spans="1:17" ht="14.5" x14ac:dyDescent="0.35">
      <c r="A560" s="184" t="s">
        <v>155</v>
      </c>
      <c r="B560" s="184" t="s">
        <v>409</v>
      </c>
      <c r="C560" s="184" t="s">
        <v>66</v>
      </c>
      <c r="D560" s="185" t="s">
        <v>287</v>
      </c>
      <c r="E560" s="185">
        <v>15906</v>
      </c>
      <c r="F560" s="185" t="s">
        <v>149</v>
      </c>
      <c r="G560" s="184">
        <v>105003</v>
      </c>
      <c r="H560" s="184" t="s">
        <v>317</v>
      </c>
      <c r="I560" s="184" t="s">
        <v>294</v>
      </c>
      <c r="J560" s="184" t="s">
        <v>295</v>
      </c>
      <c r="K560" s="184" t="s">
        <v>295</v>
      </c>
      <c r="L560" s="185">
        <v>1</v>
      </c>
      <c r="M560" s="186">
        <v>196360.39</v>
      </c>
      <c r="N560" s="186">
        <v>0</v>
      </c>
      <c r="O560" s="125">
        <f t="shared" si="45"/>
        <v>196360.39</v>
      </c>
      <c r="P560" s="125"/>
      <c r="Q560" s="73">
        <f t="shared" si="47"/>
        <v>22404.720499000003</v>
      </c>
    </row>
    <row r="561" spans="1:17" ht="14.5" x14ac:dyDescent="0.35">
      <c r="A561" s="184" t="s">
        <v>155</v>
      </c>
      <c r="B561" s="184" t="s">
        <v>409</v>
      </c>
      <c r="C561" s="184" t="s">
        <v>66</v>
      </c>
      <c r="D561" s="185" t="s">
        <v>287</v>
      </c>
      <c r="E561" s="185">
        <v>15907</v>
      </c>
      <c r="F561" s="185" t="s">
        <v>149</v>
      </c>
      <c r="G561" s="184">
        <v>105098</v>
      </c>
      <c r="H561" s="184" t="s">
        <v>314</v>
      </c>
      <c r="I561" s="184" t="s">
        <v>294</v>
      </c>
      <c r="J561" s="184" t="s">
        <v>391</v>
      </c>
      <c r="K561" s="184" t="s">
        <v>295</v>
      </c>
      <c r="L561" s="185">
        <v>1</v>
      </c>
      <c r="M561" s="186">
        <v>-4392</v>
      </c>
      <c r="N561" s="186">
        <v>0</v>
      </c>
      <c r="O561" s="125">
        <f t="shared" si="45"/>
        <v>-4392</v>
      </c>
      <c r="P561" s="125"/>
      <c r="Q561" s="73">
        <f t="shared" si="47"/>
        <v>-501.12720000000007</v>
      </c>
    </row>
    <row r="562" spans="1:17" ht="14.5" x14ac:dyDescent="0.35">
      <c r="A562" s="184" t="s">
        <v>155</v>
      </c>
      <c r="B562" s="184" t="s">
        <v>409</v>
      </c>
      <c r="C562" s="184" t="s">
        <v>66</v>
      </c>
      <c r="D562" s="185" t="s">
        <v>287</v>
      </c>
      <c r="E562" s="185">
        <v>15908</v>
      </c>
      <c r="F562" s="185" t="s">
        <v>149</v>
      </c>
      <c r="G562" s="184">
        <v>105099</v>
      </c>
      <c r="H562" s="184" t="s">
        <v>107</v>
      </c>
      <c r="I562" s="184" t="s">
        <v>294</v>
      </c>
      <c r="J562" s="184" t="s">
        <v>392</v>
      </c>
      <c r="K562" s="184" t="s">
        <v>295</v>
      </c>
      <c r="L562" s="185">
        <v>1</v>
      </c>
      <c r="M562" s="186">
        <v>4392</v>
      </c>
      <c r="N562" s="186">
        <v>0</v>
      </c>
      <c r="O562" s="125">
        <f t="shared" si="45"/>
        <v>4392</v>
      </c>
      <c r="P562" s="125"/>
      <c r="Q562" s="73">
        <f t="shared" si="47"/>
        <v>501.12720000000007</v>
      </c>
    </row>
    <row r="563" spans="1:17" ht="14.5" x14ac:dyDescent="0.35">
      <c r="A563" s="184" t="s">
        <v>155</v>
      </c>
      <c r="B563" s="184" t="s">
        <v>409</v>
      </c>
      <c r="C563" s="184" t="s">
        <v>66</v>
      </c>
      <c r="D563" s="185" t="s">
        <v>287</v>
      </c>
      <c r="E563" s="185">
        <v>15909</v>
      </c>
      <c r="F563" s="185" t="s">
        <v>149</v>
      </c>
      <c r="G563" s="189">
        <v>109001</v>
      </c>
      <c r="H563" s="184" t="s">
        <v>105</v>
      </c>
      <c r="I563" s="184" t="s">
        <v>294</v>
      </c>
      <c r="J563" s="184" t="s">
        <v>295</v>
      </c>
      <c r="K563" s="184" t="s">
        <v>295</v>
      </c>
      <c r="L563" s="185">
        <v>1</v>
      </c>
      <c r="M563" s="186">
        <v>624879.25</v>
      </c>
      <c r="N563" s="186">
        <v>597000</v>
      </c>
      <c r="O563" s="125">
        <f t="shared" si="45"/>
        <v>27879.25</v>
      </c>
      <c r="P563" s="164">
        <f t="shared" ref="P563:P566" si="48">M563*-1</f>
        <v>-624879.25</v>
      </c>
      <c r="Q563" s="164"/>
    </row>
    <row r="564" spans="1:17" ht="14.5" x14ac:dyDescent="0.35">
      <c r="A564" s="184" t="s">
        <v>155</v>
      </c>
      <c r="B564" s="184" t="s">
        <v>409</v>
      </c>
      <c r="C564" s="184" t="s">
        <v>66</v>
      </c>
      <c r="D564" s="185" t="s">
        <v>287</v>
      </c>
      <c r="E564" s="185">
        <v>15910</v>
      </c>
      <c r="F564" s="185" t="s">
        <v>149</v>
      </c>
      <c r="G564" s="189">
        <v>109001</v>
      </c>
      <c r="H564" s="184" t="s">
        <v>105</v>
      </c>
      <c r="I564" s="184" t="s">
        <v>294</v>
      </c>
      <c r="J564" s="184" t="s">
        <v>349</v>
      </c>
      <c r="K564" s="184" t="s">
        <v>295</v>
      </c>
      <c r="L564" s="185">
        <v>1</v>
      </c>
      <c r="M564" s="186">
        <v>3341.94</v>
      </c>
      <c r="N564" s="186">
        <v>3000</v>
      </c>
      <c r="O564" s="125">
        <f t="shared" si="45"/>
        <v>341.94000000000005</v>
      </c>
      <c r="P564" s="164">
        <f t="shared" si="48"/>
        <v>-3341.94</v>
      </c>
      <c r="Q564" s="164"/>
    </row>
    <row r="565" spans="1:17" ht="14.5" x14ac:dyDescent="0.35">
      <c r="A565" s="184" t="s">
        <v>155</v>
      </c>
      <c r="B565" s="184" t="s">
        <v>409</v>
      </c>
      <c r="C565" s="184" t="s">
        <v>66</v>
      </c>
      <c r="D565" s="185" t="s">
        <v>287</v>
      </c>
      <c r="E565" s="185">
        <v>15911</v>
      </c>
      <c r="F565" s="185" t="s">
        <v>149</v>
      </c>
      <c r="G565" s="189">
        <v>109001</v>
      </c>
      <c r="H565" s="184" t="s">
        <v>105</v>
      </c>
      <c r="I565" s="184" t="s">
        <v>294</v>
      </c>
      <c r="J565" s="184" t="s">
        <v>347</v>
      </c>
      <c r="K565" s="184" t="s">
        <v>295</v>
      </c>
      <c r="L565" s="185">
        <v>1</v>
      </c>
      <c r="M565" s="186">
        <v>3249.75</v>
      </c>
      <c r="N565" s="186">
        <v>0</v>
      </c>
      <c r="O565" s="125">
        <f t="shared" si="45"/>
        <v>3249.75</v>
      </c>
      <c r="P565" s="164">
        <f t="shared" si="48"/>
        <v>-3249.75</v>
      </c>
      <c r="Q565" s="164"/>
    </row>
    <row r="566" spans="1:17" ht="14.5" x14ac:dyDescent="0.35">
      <c r="A566" s="184" t="s">
        <v>155</v>
      </c>
      <c r="B566" s="184" t="s">
        <v>409</v>
      </c>
      <c r="C566" s="184" t="s">
        <v>66</v>
      </c>
      <c r="D566" s="185" t="s">
        <v>287</v>
      </c>
      <c r="E566" s="185">
        <v>15912</v>
      </c>
      <c r="F566" s="185" t="s">
        <v>149</v>
      </c>
      <c r="G566" s="189">
        <v>109001</v>
      </c>
      <c r="H566" s="184" t="s">
        <v>105</v>
      </c>
      <c r="I566" s="184" t="s">
        <v>294</v>
      </c>
      <c r="J566" s="184" t="s">
        <v>348</v>
      </c>
      <c r="K566" s="184" t="s">
        <v>295</v>
      </c>
      <c r="L566" s="185">
        <v>1</v>
      </c>
      <c r="M566" s="186">
        <v>3750.55</v>
      </c>
      <c r="N566" s="186">
        <v>0</v>
      </c>
      <c r="O566" s="125">
        <f t="shared" si="45"/>
        <v>3750.55</v>
      </c>
      <c r="P566" s="164">
        <f t="shared" si="48"/>
        <v>-3750.55</v>
      </c>
      <c r="Q566" s="164"/>
    </row>
    <row r="567" spans="1:17" ht="14.5" x14ac:dyDescent="0.35">
      <c r="A567" s="184" t="s">
        <v>155</v>
      </c>
      <c r="B567" s="184" t="s">
        <v>409</v>
      </c>
      <c r="C567" s="184" t="s">
        <v>66</v>
      </c>
      <c r="D567" s="185" t="s">
        <v>287</v>
      </c>
      <c r="E567" s="185">
        <v>15913</v>
      </c>
      <c r="F567" s="185" t="s">
        <v>149</v>
      </c>
      <c r="G567" s="189">
        <v>109901</v>
      </c>
      <c r="H567" s="184" t="s">
        <v>106</v>
      </c>
      <c r="I567" s="184" t="s">
        <v>294</v>
      </c>
      <c r="J567" s="184" t="s">
        <v>295</v>
      </c>
      <c r="K567" s="184" t="s">
        <v>295</v>
      </c>
      <c r="L567" s="185">
        <v>1</v>
      </c>
      <c r="M567" s="186">
        <v>925135.5</v>
      </c>
      <c r="N567" s="186">
        <v>925000</v>
      </c>
      <c r="O567" s="125">
        <f t="shared" si="45"/>
        <v>135.5</v>
      </c>
      <c r="P567"/>
    </row>
    <row r="568" spans="1:17" ht="14.5" x14ac:dyDescent="0.35">
      <c r="A568" s="184" t="s">
        <v>155</v>
      </c>
      <c r="B568" s="184" t="s">
        <v>409</v>
      </c>
      <c r="C568" s="184" t="s">
        <v>66</v>
      </c>
      <c r="D568" s="185" t="s">
        <v>287</v>
      </c>
      <c r="E568" s="185">
        <v>15914</v>
      </c>
      <c r="F568" s="185" t="s">
        <v>149</v>
      </c>
      <c r="G568" s="189">
        <v>109901</v>
      </c>
      <c r="H568" s="184" t="s">
        <v>106</v>
      </c>
      <c r="I568" s="184" t="s">
        <v>294</v>
      </c>
      <c r="J568" s="184" t="s">
        <v>349</v>
      </c>
      <c r="K568" s="184" t="s">
        <v>295</v>
      </c>
      <c r="L568" s="185">
        <v>1</v>
      </c>
      <c r="M568" s="186">
        <v>5465.04</v>
      </c>
      <c r="N568" s="186">
        <v>6000</v>
      </c>
      <c r="O568" s="125">
        <f t="shared" si="45"/>
        <v>-534.96</v>
      </c>
      <c r="P568"/>
    </row>
    <row r="569" spans="1:17" ht="14.5" x14ac:dyDescent="0.35">
      <c r="A569" s="184" t="s">
        <v>155</v>
      </c>
      <c r="B569" s="184" t="s">
        <v>409</v>
      </c>
      <c r="C569" s="184" t="s">
        <v>66</v>
      </c>
      <c r="D569" s="185" t="s">
        <v>287</v>
      </c>
      <c r="E569" s="185">
        <v>15915</v>
      </c>
      <c r="F569" s="185" t="s">
        <v>149</v>
      </c>
      <c r="G569" s="189">
        <v>109901</v>
      </c>
      <c r="H569" s="184" t="s">
        <v>106</v>
      </c>
      <c r="I569" s="184" t="s">
        <v>294</v>
      </c>
      <c r="J569" s="184" t="s">
        <v>392</v>
      </c>
      <c r="K569" s="184" t="s">
        <v>295</v>
      </c>
      <c r="L569" s="185">
        <v>1</v>
      </c>
      <c r="M569" s="186">
        <v>619.32000000000005</v>
      </c>
      <c r="N569" s="186">
        <v>0</v>
      </c>
      <c r="O569" s="125">
        <f t="shared" si="45"/>
        <v>619.32000000000005</v>
      </c>
      <c r="P569"/>
    </row>
    <row r="570" spans="1:17" ht="14.5" x14ac:dyDescent="0.35">
      <c r="A570" s="184" t="s">
        <v>155</v>
      </c>
      <c r="B570" s="184" t="s">
        <v>409</v>
      </c>
      <c r="C570" s="184" t="s">
        <v>66</v>
      </c>
      <c r="D570" s="185" t="s">
        <v>287</v>
      </c>
      <c r="E570" s="185">
        <v>15916</v>
      </c>
      <c r="F570" s="185" t="s">
        <v>149</v>
      </c>
      <c r="G570" s="189">
        <v>109901</v>
      </c>
      <c r="H570" s="184" t="s">
        <v>106</v>
      </c>
      <c r="I570" s="184" t="s">
        <v>294</v>
      </c>
      <c r="J570" s="184" t="s">
        <v>347</v>
      </c>
      <c r="K570" s="184" t="s">
        <v>295</v>
      </c>
      <c r="L570" s="185">
        <v>1</v>
      </c>
      <c r="M570" s="186">
        <v>4744.2</v>
      </c>
      <c r="N570" s="186">
        <v>0</v>
      </c>
      <c r="O570" s="125">
        <f t="shared" si="45"/>
        <v>4744.2</v>
      </c>
      <c r="P570"/>
    </row>
    <row r="571" spans="1:17" ht="14.5" x14ac:dyDescent="0.35">
      <c r="A571" s="184" t="s">
        <v>155</v>
      </c>
      <c r="B571" s="184" t="s">
        <v>409</v>
      </c>
      <c r="C571" s="184" t="s">
        <v>66</v>
      </c>
      <c r="D571" s="185" t="s">
        <v>287</v>
      </c>
      <c r="E571" s="185">
        <v>15917</v>
      </c>
      <c r="F571" s="185" t="s">
        <v>149</v>
      </c>
      <c r="G571" s="189">
        <v>109901</v>
      </c>
      <c r="H571" s="184" t="s">
        <v>106</v>
      </c>
      <c r="I571" s="184" t="s">
        <v>294</v>
      </c>
      <c r="J571" s="184" t="s">
        <v>348</v>
      </c>
      <c r="K571" s="184" t="s">
        <v>295</v>
      </c>
      <c r="L571" s="185">
        <v>1</v>
      </c>
      <c r="M571" s="186">
        <v>6708.74</v>
      </c>
      <c r="N571" s="186">
        <v>0</v>
      </c>
      <c r="O571" s="125">
        <f t="shared" si="45"/>
        <v>6708.74</v>
      </c>
      <c r="P571" s="125"/>
    </row>
    <row r="572" spans="1:17" ht="14.5" x14ac:dyDescent="0.35">
      <c r="A572" s="184" t="s">
        <v>155</v>
      </c>
      <c r="B572" s="184" t="s">
        <v>410</v>
      </c>
      <c r="C572" s="184" t="s">
        <v>175</v>
      </c>
      <c r="D572" s="185" t="s">
        <v>287</v>
      </c>
      <c r="E572" s="185">
        <v>16016</v>
      </c>
      <c r="F572" s="185" t="s">
        <v>149</v>
      </c>
      <c r="G572" s="184">
        <v>101001</v>
      </c>
      <c r="H572" s="184" t="s">
        <v>108</v>
      </c>
      <c r="I572" s="184" t="s">
        <v>294</v>
      </c>
      <c r="J572" s="184" t="s">
        <v>295</v>
      </c>
      <c r="K572" s="184" t="s">
        <v>295</v>
      </c>
      <c r="L572" s="185">
        <v>1</v>
      </c>
      <c r="M572" s="186">
        <v>4263566.7300000004</v>
      </c>
      <c r="N572" s="186">
        <v>4426000</v>
      </c>
      <c r="O572" s="125">
        <f t="shared" si="45"/>
        <v>-162433.26999999955</v>
      </c>
      <c r="P572" s="125"/>
      <c r="Q572" s="73">
        <f t="shared" ref="Q572:Q594" si="49">M572*$Q$7*1.141</f>
        <v>486472.96389300009</v>
      </c>
    </row>
    <row r="573" spans="1:17" ht="14.5" x14ac:dyDescent="0.35">
      <c r="A573" s="184" t="s">
        <v>155</v>
      </c>
      <c r="B573" s="184" t="s">
        <v>410</v>
      </c>
      <c r="C573" s="184" t="s">
        <v>175</v>
      </c>
      <c r="D573" s="185" t="s">
        <v>287</v>
      </c>
      <c r="E573" s="185">
        <v>16017</v>
      </c>
      <c r="F573" s="185" t="s">
        <v>149</v>
      </c>
      <c r="G573" s="184">
        <v>101002</v>
      </c>
      <c r="H573" s="184" t="s">
        <v>109</v>
      </c>
      <c r="I573" s="184" t="s">
        <v>294</v>
      </c>
      <c r="J573" s="184" t="s">
        <v>295</v>
      </c>
      <c r="K573" s="184" t="s">
        <v>295</v>
      </c>
      <c r="L573" s="185">
        <v>1</v>
      </c>
      <c r="M573" s="186">
        <v>-8384.67</v>
      </c>
      <c r="N573" s="186">
        <v>0</v>
      </c>
      <c r="O573" s="125">
        <f t="shared" si="45"/>
        <v>-8384.67</v>
      </c>
      <c r="P573" s="125"/>
      <c r="Q573" s="73">
        <f t="shared" si="49"/>
        <v>-956.69084700000008</v>
      </c>
    </row>
    <row r="574" spans="1:17" ht="14.5" x14ac:dyDescent="0.35">
      <c r="A574" s="184" t="s">
        <v>155</v>
      </c>
      <c r="B574" s="184" t="s">
        <v>410</v>
      </c>
      <c r="C574" s="184" t="s">
        <v>175</v>
      </c>
      <c r="D574" s="185" t="s">
        <v>287</v>
      </c>
      <c r="E574" s="185">
        <v>16018</v>
      </c>
      <c r="F574" s="185" t="s">
        <v>149</v>
      </c>
      <c r="G574" s="184">
        <v>101002</v>
      </c>
      <c r="H574" s="184" t="s">
        <v>109</v>
      </c>
      <c r="I574" s="184" t="s">
        <v>294</v>
      </c>
      <c r="J574" s="184" t="s">
        <v>349</v>
      </c>
      <c r="K574" s="184" t="s">
        <v>295</v>
      </c>
      <c r="L574" s="185">
        <v>1</v>
      </c>
      <c r="M574" s="186">
        <v>481.78</v>
      </c>
      <c r="N574" s="186">
        <v>15000</v>
      </c>
      <c r="O574" s="125">
        <f t="shared" si="45"/>
        <v>-14518.22</v>
      </c>
      <c r="P574" s="125"/>
      <c r="Q574" s="73">
        <f t="shared" si="49"/>
        <v>54.971097999999998</v>
      </c>
    </row>
    <row r="575" spans="1:17" ht="14.5" x14ac:dyDescent="0.35">
      <c r="A575" s="184" t="s">
        <v>155</v>
      </c>
      <c r="B575" s="184" t="s">
        <v>410</v>
      </c>
      <c r="C575" s="184" t="s">
        <v>175</v>
      </c>
      <c r="D575" s="185" t="s">
        <v>287</v>
      </c>
      <c r="E575" s="185">
        <v>16019</v>
      </c>
      <c r="F575" s="185" t="s">
        <v>149</v>
      </c>
      <c r="G575" s="184">
        <v>101002</v>
      </c>
      <c r="H575" s="184" t="s">
        <v>109</v>
      </c>
      <c r="I575" s="184" t="s">
        <v>294</v>
      </c>
      <c r="J575" s="184" t="s">
        <v>347</v>
      </c>
      <c r="K575" s="184" t="s">
        <v>295</v>
      </c>
      <c r="L575" s="185">
        <v>1</v>
      </c>
      <c r="M575" s="186">
        <v>1306.3</v>
      </c>
      <c r="N575" s="186">
        <v>0</v>
      </c>
      <c r="O575" s="125">
        <f t="shared" si="45"/>
        <v>1306.3</v>
      </c>
      <c r="P575" s="125"/>
      <c r="Q575" s="73">
        <f t="shared" si="49"/>
        <v>149.04883000000001</v>
      </c>
    </row>
    <row r="576" spans="1:17" ht="14.5" x14ac:dyDescent="0.35">
      <c r="A576" s="184" t="s">
        <v>155</v>
      </c>
      <c r="B576" s="184" t="s">
        <v>410</v>
      </c>
      <c r="C576" s="184" t="s">
        <v>175</v>
      </c>
      <c r="D576" s="185" t="s">
        <v>287</v>
      </c>
      <c r="E576" s="185">
        <v>16020</v>
      </c>
      <c r="F576" s="185" t="s">
        <v>149</v>
      </c>
      <c r="G576" s="184">
        <v>101039</v>
      </c>
      <c r="H576" s="184" t="s">
        <v>111</v>
      </c>
      <c r="I576" s="184" t="s">
        <v>294</v>
      </c>
      <c r="J576" s="184" t="s">
        <v>295</v>
      </c>
      <c r="K576" s="184" t="s">
        <v>295</v>
      </c>
      <c r="L576" s="185">
        <v>1</v>
      </c>
      <c r="M576" s="186">
        <v>193683.22</v>
      </c>
      <c r="N576" s="186">
        <v>14000</v>
      </c>
      <c r="O576" s="125">
        <f t="shared" si="45"/>
        <v>179683.22</v>
      </c>
      <c r="P576" s="125"/>
      <c r="Q576" s="73">
        <f t="shared" si="49"/>
        <v>22099.255401999999</v>
      </c>
    </row>
    <row r="577" spans="1:17" ht="14.5" x14ac:dyDescent="0.35">
      <c r="A577" s="184" t="s">
        <v>155</v>
      </c>
      <c r="B577" s="184" t="s">
        <v>410</v>
      </c>
      <c r="C577" s="184" t="s">
        <v>175</v>
      </c>
      <c r="D577" s="185" t="s">
        <v>287</v>
      </c>
      <c r="E577" s="185">
        <v>16021</v>
      </c>
      <c r="F577" s="185" t="s">
        <v>149</v>
      </c>
      <c r="G577" s="184">
        <v>102002</v>
      </c>
      <c r="H577" s="184" t="s">
        <v>112</v>
      </c>
      <c r="I577" s="184" t="s">
        <v>294</v>
      </c>
      <c r="J577" s="184" t="s">
        <v>295</v>
      </c>
      <c r="K577" s="184" t="s">
        <v>295</v>
      </c>
      <c r="L577" s="185">
        <v>1</v>
      </c>
      <c r="M577" s="186">
        <v>2799.22</v>
      </c>
      <c r="N577" s="186">
        <v>0</v>
      </c>
      <c r="O577" s="125">
        <f t="shared" si="45"/>
        <v>2799.22</v>
      </c>
      <c r="P577" s="125"/>
      <c r="Q577" s="73">
        <f t="shared" si="49"/>
        <v>319.39100199999996</v>
      </c>
    </row>
    <row r="578" spans="1:17" ht="14.5" x14ac:dyDescent="0.35">
      <c r="A578" s="184" t="s">
        <v>155</v>
      </c>
      <c r="B578" s="184" t="s">
        <v>410</v>
      </c>
      <c r="C578" s="184" t="s">
        <v>175</v>
      </c>
      <c r="D578" s="185" t="s">
        <v>287</v>
      </c>
      <c r="E578" s="185">
        <v>16022</v>
      </c>
      <c r="F578" s="185" t="s">
        <v>149</v>
      </c>
      <c r="G578" s="184">
        <v>102003</v>
      </c>
      <c r="H578" s="184" t="s">
        <v>110</v>
      </c>
      <c r="I578" s="184" t="s">
        <v>294</v>
      </c>
      <c r="J578" s="184" t="s">
        <v>295</v>
      </c>
      <c r="K578" s="184" t="s">
        <v>295</v>
      </c>
      <c r="L578" s="185">
        <v>1</v>
      </c>
      <c r="M578" s="186">
        <v>11123.61</v>
      </c>
      <c r="N578" s="186">
        <v>100000</v>
      </c>
      <c r="O578" s="125">
        <f t="shared" si="45"/>
        <v>-88876.39</v>
      </c>
      <c r="P578" s="125"/>
      <c r="Q578" s="73">
        <f t="shared" si="49"/>
        <v>1269.2039010000001</v>
      </c>
    </row>
    <row r="579" spans="1:17" ht="14.5" x14ac:dyDescent="0.35">
      <c r="A579" s="184" t="s">
        <v>155</v>
      </c>
      <c r="B579" s="184" t="s">
        <v>410</v>
      </c>
      <c r="C579" s="184" t="s">
        <v>175</v>
      </c>
      <c r="D579" s="185" t="s">
        <v>287</v>
      </c>
      <c r="E579" s="185">
        <v>16023</v>
      </c>
      <c r="F579" s="185" t="s">
        <v>149</v>
      </c>
      <c r="G579" s="184">
        <v>102003</v>
      </c>
      <c r="H579" s="184" t="s">
        <v>110</v>
      </c>
      <c r="I579" s="184" t="s">
        <v>294</v>
      </c>
      <c r="J579" s="184" t="s">
        <v>349</v>
      </c>
      <c r="K579" s="184" t="s">
        <v>295</v>
      </c>
      <c r="L579" s="185">
        <v>1</v>
      </c>
      <c r="M579" s="186">
        <v>11792.6</v>
      </c>
      <c r="N579" s="186">
        <v>0</v>
      </c>
      <c r="O579" s="125">
        <f t="shared" si="45"/>
        <v>11792.6</v>
      </c>
      <c r="P579" s="125"/>
      <c r="Q579" s="73">
        <f t="shared" si="49"/>
        <v>1345.53566</v>
      </c>
    </row>
    <row r="580" spans="1:17" ht="14.5" x14ac:dyDescent="0.35">
      <c r="A580" s="184" t="s">
        <v>155</v>
      </c>
      <c r="B580" s="184" t="s">
        <v>410</v>
      </c>
      <c r="C580" s="184" t="s">
        <v>175</v>
      </c>
      <c r="D580" s="185" t="s">
        <v>287</v>
      </c>
      <c r="E580" s="185">
        <v>16024</v>
      </c>
      <c r="F580" s="185" t="s">
        <v>149</v>
      </c>
      <c r="G580" s="184">
        <v>102005</v>
      </c>
      <c r="H580" s="184" t="s">
        <v>116</v>
      </c>
      <c r="I580" s="184" t="s">
        <v>294</v>
      </c>
      <c r="J580" s="184" t="s">
        <v>295</v>
      </c>
      <c r="K580" s="184" t="s">
        <v>295</v>
      </c>
      <c r="L580" s="185">
        <v>1</v>
      </c>
      <c r="M580" s="186">
        <v>2253.13</v>
      </c>
      <c r="N580" s="186">
        <v>48000</v>
      </c>
      <c r="O580" s="125">
        <f t="shared" si="45"/>
        <v>-45746.87</v>
      </c>
      <c r="P580" s="125"/>
      <c r="Q580" s="73">
        <f t="shared" si="49"/>
        <v>257.082133</v>
      </c>
    </row>
    <row r="581" spans="1:17" ht="14.5" x14ac:dyDescent="0.35">
      <c r="A581" s="184" t="s">
        <v>155</v>
      </c>
      <c r="B581" s="184" t="s">
        <v>410</v>
      </c>
      <c r="C581" s="184" t="s">
        <v>175</v>
      </c>
      <c r="D581" s="185" t="s">
        <v>287</v>
      </c>
      <c r="E581" s="185">
        <v>16025</v>
      </c>
      <c r="F581" s="185" t="s">
        <v>149</v>
      </c>
      <c r="G581" s="184">
        <v>102062</v>
      </c>
      <c r="H581" s="184" t="s">
        <v>117</v>
      </c>
      <c r="I581" s="184" t="s">
        <v>294</v>
      </c>
      <c r="J581" s="184" t="s">
        <v>295</v>
      </c>
      <c r="K581" s="184" t="s">
        <v>295</v>
      </c>
      <c r="L581" s="185">
        <v>1</v>
      </c>
      <c r="M581" s="186">
        <v>4961.6000000000004</v>
      </c>
      <c r="N581" s="186">
        <v>0</v>
      </c>
      <c r="O581" s="125">
        <f t="shared" si="45"/>
        <v>4961.6000000000004</v>
      </c>
      <c r="P581" s="125"/>
      <c r="Q581" s="73">
        <f t="shared" si="49"/>
        <v>566.11856000000012</v>
      </c>
    </row>
    <row r="582" spans="1:17" ht="14.5" x14ac:dyDescent="0.35">
      <c r="A582" s="184" t="s">
        <v>155</v>
      </c>
      <c r="B582" s="184" t="s">
        <v>410</v>
      </c>
      <c r="C582" s="184" t="s">
        <v>175</v>
      </c>
      <c r="D582" s="185" t="s">
        <v>287</v>
      </c>
      <c r="E582" s="185">
        <v>16026</v>
      </c>
      <c r="F582" s="185" t="s">
        <v>149</v>
      </c>
      <c r="G582" s="184">
        <v>103001</v>
      </c>
      <c r="H582" s="184" t="s">
        <v>113</v>
      </c>
      <c r="I582" s="184" t="s">
        <v>294</v>
      </c>
      <c r="J582" s="184" t="s">
        <v>295</v>
      </c>
      <c r="K582" s="184" t="s">
        <v>295</v>
      </c>
      <c r="L582" s="185">
        <v>1</v>
      </c>
      <c r="M582" s="186">
        <v>20603.27</v>
      </c>
      <c r="N582" s="186">
        <v>0</v>
      </c>
      <c r="O582" s="125">
        <f t="shared" si="45"/>
        <v>20603.27</v>
      </c>
      <c r="P582" s="125"/>
      <c r="Q582" s="73">
        <f t="shared" si="49"/>
        <v>2350.8331070000004</v>
      </c>
    </row>
    <row r="583" spans="1:17" ht="14.5" x14ac:dyDescent="0.35">
      <c r="A583" s="184" t="s">
        <v>155</v>
      </c>
      <c r="B583" s="184" t="s">
        <v>410</v>
      </c>
      <c r="C583" s="184" t="s">
        <v>175</v>
      </c>
      <c r="D583" s="185" t="s">
        <v>287</v>
      </c>
      <c r="E583" s="185">
        <v>16027</v>
      </c>
      <c r="F583" s="185" t="s">
        <v>149</v>
      </c>
      <c r="G583" s="184">
        <v>103001</v>
      </c>
      <c r="H583" s="184" t="s">
        <v>113</v>
      </c>
      <c r="I583" s="184" t="s">
        <v>294</v>
      </c>
      <c r="J583" s="184" t="s">
        <v>349</v>
      </c>
      <c r="K583" s="184" t="s">
        <v>295</v>
      </c>
      <c r="L583" s="185">
        <v>1</v>
      </c>
      <c r="M583" s="186">
        <v>2897.97</v>
      </c>
      <c r="N583" s="186">
        <v>0</v>
      </c>
      <c r="O583" s="125">
        <f t="shared" si="45"/>
        <v>2897.97</v>
      </c>
      <c r="P583" s="125"/>
      <c r="Q583" s="73">
        <f t="shared" si="49"/>
        <v>330.65837699999997</v>
      </c>
    </row>
    <row r="584" spans="1:17" ht="14.5" x14ac:dyDescent="0.35">
      <c r="A584" s="184" t="s">
        <v>155</v>
      </c>
      <c r="B584" s="184" t="s">
        <v>410</v>
      </c>
      <c r="C584" s="184" t="s">
        <v>175</v>
      </c>
      <c r="D584" s="185" t="s">
        <v>287</v>
      </c>
      <c r="E584" s="185">
        <v>16028</v>
      </c>
      <c r="F584" s="185" t="s">
        <v>149</v>
      </c>
      <c r="G584" s="184">
        <v>103001</v>
      </c>
      <c r="H584" s="184" t="s">
        <v>113</v>
      </c>
      <c r="I584" s="184" t="s">
        <v>294</v>
      </c>
      <c r="J584" s="184" t="s">
        <v>386</v>
      </c>
      <c r="K584" s="184" t="s">
        <v>295</v>
      </c>
      <c r="L584" s="185">
        <v>1</v>
      </c>
      <c r="M584" s="186">
        <v>5411.82</v>
      </c>
      <c r="N584" s="186">
        <v>0</v>
      </c>
      <c r="O584" s="125">
        <f t="shared" ref="O584:O647" si="50">M584-N584</f>
        <v>5411.82</v>
      </c>
      <c r="P584" s="125"/>
      <c r="Q584" s="73">
        <f t="shared" si="49"/>
        <v>617.48866199999998</v>
      </c>
    </row>
    <row r="585" spans="1:17" ht="14.5" x14ac:dyDescent="0.35">
      <c r="A585" s="184" t="s">
        <v>155</v>
      </c>
      <c r="B585" s="184" t="s">
        <v>410</v>
      </c>
      <c r="C585" s="184" t="s">
        <v>175</v>
      </c>
      <c r="D585" s="185" t="s">
        <v>287</v>
      </c>
      <c r="E585" s="185">
        <v>16029</v>
      </c>
      <c r="F585" s="185" t="s">
        <v>149</v>
      </c>
      <c r="G585" s="184">
        <v>103001</v>
      </c>
      <c r="H585" s="184" t="s">
        <v>113</v>
      </c>
      <c r="I585" s="184" t="s">
        <v>294</v>
      </c>
      <c r="J585" s="184" t="s">
        <v>347</v>
      </c>
      <c r="K585" s="184" t="s">
        <v>295</v>
      </c>
      <c r="L585" s="185">
        <v>1</v>
      </c>
      <c r="M585" s="186">
        <v>2887.08</v>
      </c>
      <c r="N585" s="186">
        <v>0</v>
      </c>
      <c r="O585" s="125">
        <f t="shared" si="50"/>
        <v>2887.08</v>
      </c>
      <c r="P585" s="125"/>
      <c r="Q585" s="73">
        <f t="shared" si="49"/>
        <v>329.41582800000003</v>
      </c>
    </row>
    <row r="586" spans="1:17" ht="14.5" x14ac:dyDescent="0.35">
      <c r="A586" s="184" t="s">
        <v>155</v>
      </c>
      <c r="B586" s="184" t="s">
        <v>410</v>
      </c>
      <c r="C586" s="184" t="s">
        <v>175</v>
      </c>
      <c r="D586" s="185" t="s">
        <v>287</v>
      </c>
      <c r="E586" s="185">
        <v>16030</v>
      </c>
      <c r="F586" s="185" t="s">
        <v>149</v>
      </c>
      <c r="G586" s="184">
        <v>103069</v>
      </c>
      <c r="H586" s="184" t="s">
        <v>225</v>
      </c>
      <c r="I586" s="184" t="s">
        <v>294</v>
      </c>
      <c r="J586" s="184" t="s">
        <v>295</v>
      </c>
      <c r="K586" s="184" t="s">
        <v>295</v>
      </c>
      <c r="L586" s="185">
        <v>1</v>
      </c>
      <c r="M586" s="186">
        <v>15789.89</v>
      </c>
      <c r="N586" s="186">
        <v>0</v>
      </c>
      <c r="O586" s="125">
        <f t="shared" si="50"/>
        <v>15789.89</v>
      </c>
      <c r="P586" s="125"/>
      <c r="Q586" s="73">
        <f t="shared" si="49"/>
        <v>1801.6264490000001</v>
      </c>
    </row>
    <row r="587" spans="1:17" ht="14.5" x14ac:dyDescent="0.35">
      <c r="A587" s="184" t="s">
        <v>155</v>
      </c>
      <c r="B587" s="184" t="s">
        <v>410</v>
      </c>
      <c r="C587" s="184" t="s">
        <v>175</v>
      </c>
      <c r="D587" s="185" t="s">
        <v>287</v>
      </c>
      <c r="E587" s="185">
        <v>16031</v>
      </c>
      <c r="F587" s="185" t="s">
        <v>149</v>
      </c>
      <c r="G587" s="184">
        <v>104000</v>
      </c>
      <c r="H587" s="184" t="s">
        <v>114</v>
      </c>
      <c r="I587" s="184" t="s">
        <v>294</v>
      </c>
      <c r="J587" s="184" t="s">
        <v>295</v>
      </c>
      <c r="K587" s="184" t="s">
        <v>295</v>
      </c>
      <c r="L587" s="185">
        <v>1</v>
      </c>
      <c r="M587" s="186">
        <v>22420.05</v>
      </c>
      <c r="N587" s="186">
        <v>36000</v>
      </c>
      <c r="O587" s="125">
        <f t="shared" si="50"/>
        <v>-13579.95</v>
      </c>
      <c r="P587" s="125"/>
      <c r="Q587" s="73">
        <f t="shared" si="49"/>
        <v>2558.1277050000003</v>
      </c>
    </row>
    <row r="588" spans="1:17" ht="14.5" x14ac:dyDescent="0.35">
      <c r="A588" s="184" t="s">
        <v>155</v>
      </c>
      <c r="B588" s="184" t="s">
        <v>410</v>
      </c>
      <c r="C588" s="184" t="s">
        <v>175</v>
      </c>
      <c r="D588" s="185" t="s">
        <v>287</v>
      </c>
      <c r="E588" s="185">
        <v>16032</v>
      </c>
      <c r="F588" s="185" t="s">
        <v>149</v>
      </c>
      <c r="G588" s="184">
        <v>104000</v>
      </c>
      <c r="H588" s="184" t="s">
        <v>114</v>
      </c>
      <c r="I588" s="184" t="s">
        <v>294</v>
      </c>
      <c r="J588" s="184" t="s">
        <v>349</v>
      </c>
      <c r="K588" s="184" t="s">
        <v>295</v>
      </c>
      <c r="L588" s="185">
        <v>1</v>
      </c>
      <c r="M588" s="186">
        <v>15758.61</v>
      </c>
      <c r="N588" s="186">
        <v>18000</v>
      </c>
      <c r="O588" s="125">
        <f t="shared" si="50"/>
        <v>-2241.3899999999994</v>
      </c>
      <c r="P588" s="125"/>
      <c r="Q588" s="73">
        <f t="shared" si="49"/>
        <v>1798.057401</v>
      </c>
    </row>
    <row r="589" spans="1:17" ht="14.5" x14ac:dyDescent="0.35">
      <c r="A589" s="184" t="s">
        <v>155</v>
      </c>
      <c r="B589" s="184" t="s">
        <v>410</v>
      </c>
      <c r="C589" s="184" t="s">
        <v>175</v>
      </c>
      <c r="D589" s="185" t="s">
        <v>287</v>
      </c>
      <c r="E589" s="185">
        <v>16033</v>
      </c>
      <c r="F589" s="185" t="s">
        <v>149</v>
      </c>
      <c r="G589" s="184">
        <v>105003</v>
      </c>
      <c r="H589" s="184" t="s">
        <v>317</v>
      </c>
      <c r="I589" s="184" t="s">
        <v>294</v>
      </c>
      <c r="J589" s="184" t="s">
        <v>295</v>
      </c>
      <c r="K589" s="184" t="s">
        <v>295</v>
      </c>
      <c r="L589" s="185">
        <v>1</v>
      </c>
      <c r="M589" s="186">
        <v>158972.63</v>
      </c>
      <c r="N589" s="186">
        <v>0</v>
      </c>
      <c r="O589" s="125">
        <f t="shared" si="50"/>
        <v>158972.63</v>
      </c>
      <c r="P589" s="125"/>
      <c r="Q589" s="73">
        <f t="shared" si="49"/>
        <v>18138.777083000001</v>
      </c>
    </row>
    <row r="590" spans="1:17" ht="14.5" x14ac:dyDescent="0.35">
      <c r="A590" s="184" t="s">
        <v>155</v>
      </c>
      <c r="B590" s="184" t="s">
        <v>410</v>
      </c>
      <c r="C590" s="184" t="s">
        <v>175</v>
      </c>
      <c r="D590" s="185" t="s">
        <v>287</v>
      </c>
      <c r="E590" s="185">
        <v>16034</v>
      </c>
      <c r="F590" s="185" t="s">
        <v>149</v>
      </c>
      <c r="G590" s="184">
        <v>105010</v>
      </c>
      <c r="H590" s="184" t="s">
        <v>124</v>
      </c>
      <c r="I590" s="184" t="s">
        <v>294</v>
      </c>
      <c r="J590" s="184" t="s">
        <v>295</v>
      </c>
      <c r="K590" s="184" t="s">
        <v>295</v>
      </c>
      <c r="L590" s="185">
        <v>1</v>
      </c>
      <c r="M590" s="186">
        <v>5296.89</v>
      </c>
      <c r="N590" s="186">
        <v>0</v>
      </c>
      <c r="O590" s="125">
        <f t="shared" si="50"/>
        <v>5296.89</v>
      </c>
      <c r="P590" s="125"/>
      <c r="Q590" s="73">
        <f t="shared" si="49"/>
        <v>604.37514900000008</v>
      </c>
    </row>
    <row r="591" spans="1:17" ht="14.5" x14ac:dyDescent="0.35">
      <c r="A591" s="184" t="s">
        <v>155</v>
      </c>
      <c r="B591" s="184" t="s">
        <v>410</v>
      </c>
      <c r="C591" s="184" t="s">
        <v>175</v>
      </c>
      <c r="D591" s="185" t="s">
        <v>287</v>
      </c>
      <c r="E591" s="185">
        <v>16035</v>
      </c>
      <c r="F591" s="185" t="s">
        <v>149</v>
      </c>
      <c r="G591" s="184">
        <v>105010</v>
      </c>
      <c r="H591" s="184" t="s">
        <v>124</v>
      </c>
      <c r="I591" s="184" t="s">
        <v>294</v>
      </c>
      <c r="J591" s="184" t="s">
        <v>349</v>
      </c>
      <c r="K591" s="184" t="s">
        <v>295</v>
      </c>
      <c r="L591" s="185">
        <v>1</v>
      </c>
      <c r="M591" s="186">
        <v>2435.7800000000002</v>
      </c>
      <c r="N591" s="186">
        <v>0</v>
      </c>
      <c r="O591" s="125">
        <f t="shared" si="50"/>
        <v>2435.7800000000002</v>
      </c>
      <c r="P591" s="125"/>
      <c r="Q591" s="73">
        <f t="shared" si="49"/>
        <v>277.92249800000002</v>
      </c>
    </row>
    <row r="592" spans="1:17" ht="14.5" x14ac:dyDescent="0.35">
      <c r="A592" s="184" t="s">
        <v>155</v>
      </c>
      <c r="B592" s="184" t="s">
        <v>410</v>
      </c>
      <c r="C592" s="184" t="s">
        <v>175</v>
      </c>
      <c r="D592" s="185" t="s">
        <v>287</v>
      </c>
      <c r="E592" s="185">
        <v>16036</v>
      </c>
      <c r="F592" s="185" t="s">
        <v>149</v>
      </c>
      <c r="G592" s="184">
        <v>105019</v>
      </c>
      <c r="H592" s="184" t="s">
        <v>115</v>
      </c>
      <c r="I592" s="184" t="s">
        <v>294</v>
      </c>
      <c r="J592" s="184" t="s">
        <v>295</v>
      </c>
      <c r="K592" s="184" t="s">
        <v>295</v>
      </c>
      <c r="L592" s="185">
        <v>1</v>
      </c>
      <c r="M592" s="186">
        <v>555.54999999999995</v>
      </c>
      <c r="N592" s="186">
        <v>0</v>
      </c>
      <c r="O592" s="125">
        <f t="shared" si="50"/>
        <v>555.54999999999995</v>
      </c>
      <c r="P592" s="125"/>
      <c r="Q592" s="73">
        <f t="shared" si="49"/>
        <v>63.388255000000001</v>
      </c>
    </row>
    <row r="593" spans="1:17" ht="14.5" x14ac:dyDescent="0.35">
      <c r="A593" s="184" t="s">
        <v>155</v>
      </c>
      <c r="B593" s="184" t="s">
        <v>410</v>
      </c>
      <c r="C593" s="184" t="s">
        <v>175</v>
      </c>
      <c r="D593" s="185" t="s">
        <v>287</v>
      </c>
      <c r="E593" s="185">
        <v>16037</v>
      </c>
      <c r="F593" s="185" t="s">
        <v>149</v>
      </c>
      <c r="G593" s="184">
        <v>105098</v>
      </c>
      <c r="H593" s="184" t="s">
        <v>314</v>
      </c>
      <c r="I593" s="184" t="s">
        <v>294</v>
      </c>
      <c r="J593" s="184" t="s">
        <v>391</v>
      </c>
      <c r="K593" s="184" t="s">
        <v>295</v>
      </c>
      <c r="L593" s="185">
        <v>1</v>
      </c>
      <c r="M593" s="186">
        <v>-4392</v>
      </c>
      <c r="N593" s="186">
        <v>0</v>
      </c>
      <c r="O593" s="125">
        <f t="shared" si="50"/>
        <v>-4392</v>
      </c>
      <c r="P593" s="125"/>
      <c r="Q593" s="73">
        <f t="shared" si="49"/>
        <v>-501.12720000000007</v>
      </c>
    </row>
    <row r="594" spans="1:17" ht="14.5" x14ac:dyDescent="0.35">
      <c r="A594" s="184" t="s">
        <v>155</v>
      </c>
      <c r="B594" s="184" t="s">
        <v>410</v>
      </c>
      <c r="C594" s="184" t="s">
        <v>175</v>
      </c>
      <c r="D594" s="185" t="s">
        <v>287</v>
      </c>
      <c r="E594" s="185">
        <v>16038</v>
      </c>
      <c r="F594" s="185" t="s">
        <v>149</v>
      </c>
      <c r="G594" s="184">
        <v>105099</v>
      </c>
      <c r="H594" s="184" t="s">
        <v>107</v>
      </c>
      <c r="I594" s="184" t="s">
        <v>294</v>
      </c>
      <c r="J594" s="184" t="s">
        <v>392</v>
      </c>
      <c r="K594" s="184" t="s">
        <v>295</v>
      </c>
      <c r="L594" s="185">
        <v>1</v>
      </c>
      <c r="M594" s="186">
        <v>4392</v>
      </c>
      <c r="N594" s="186">
        <v>0</v>
      </c>
      <c r="O594" s="125">
        <f t="shared" si="50"/>
        <v>4392</v>
      </c>
      <c r="P594" s="125"/>
      <c r="Q594" s="73">
        <f t="shared" si="49"/>
        <v>501.12720000000007</v>
      </c>
    </row>
    <row r="595" spans="1:17" ht="14.5" x14ac:dyDescent="0.35">
      <c r="A595" s="184" t="s">
        <v>155</v>
      </c>
      <c r="B595" s="184" t="s">
        <v>410</v>
      </c>
      <c r="C595" s="184" t="s">
        <v>175</v>
      </c>
      <c r="D595" s="185" t="s">
        <v>287</v>
      </c>
      <c r="E595" s="185">
        <v>16039</v>
      </c>
      <c r="F595" s="185" t="s">
        <v>149</v>
      </c>
      <c r="G595" s="189">
        <v>109001</v>
      </c>
      <c r="H595" s="184" t="s">
        <v>105</v>
      </c>
      <c r="I595" s="184" t="s">
        <v>294</v>
      </c>
      <c r="J595" s="184" t="s">
        <v>295</v>
      </c>
      <c r="K595" s="184" t="s">
        <v>295</v>
      </c>
      <c r="L595" s="185">
        <v>1</v>
      </c>
      <c r="M595" s="186">
        <v>452711.84</v>
      </c>
      <c r="N595" s="186">
        <v>465000</v>
      </c>
      <c r="O595" s="125">
        <f t="shared" si="50"/>
        <v>-12288.159999999974</v>
      </c>
      <c r="P595" s="164">
        <f t="shared" ref="P595:P598" si="51">M595*-1</f>
        <v>-452711.84</v>
      </c>
    </row>
    <row r="596" spans="1:17" ht="14.5" x14ac:dyDescent="0.35">
      <c r="A596" s="184" t="s">
        <v>155</v>
      </c>
      <c r="B596" s="184" t="s">
        <v>410</v>
      </c>
      <c r="C596" s="184" t="s">
        <v>175</v>
      </c>
      <c r="D596" s="185" t="s">
        <v>287</v>
      </c>
      <c r="E596" s="185">
        <v>16040</v>
      </c>
      <c r="F596" s="185" t="s">
        <v>149</v>
      </c>
      <c r="G596" s="189">
        <v>109001</v>
      </c>
      <c r="H596" s="184" t="s">
        <v>105</v>
      </c>
      <c r="I596" s="184" t="s">
        <v>294</v>
      </c>
      <c r="J596" s="184" t="s">
        <v>349</v>
      </c>
      <c r="K596" s="184" t="s">
        <v>295</v>
      </c>
      <c r="L596" s="185">
        <v>1</v>
      </c>
      <c r="M596" s="186">
        <v>1529.01</v>
      </c>
      <c r="N596" s="186">
        <v>2000</v>
      </c>
      <c r="O596" s="125">
        <f t="shared" si="50"/>
        <v>-470.99</v>
      </c>
      <c r="P596" s="164">
        <f t="shared" si="51"/>
        <v>-1529.01</v>
      </c>
    </row>
    <row r="597" spans="1:17" ht="14.5" x14ac:dyDescent="0.35">
      <c r="A597" s="184" t="s">
        <v>155</v>
      </c>
      <c r="B597" s="184" t="s">
        <v>410</v>
      </c>
      <c r="C597" s="184" t="s">
        <v>175</v>
      </c>
      <c r="D597" s="185" t="s">
        <v>287</v>
      </c>
      <c r="E597" s="185">
        <v>16041</v>
      </c>
      <c r="F597" s="185" t="s">
        <v>149</v>
      </c>
      <c r="G597" s="189">
        <v>109001</v>
      </c>
      <c r="H597" s="184" t="s">
        <v>105</v>
      </c>
      <c r="I597" s="184" t="s">
        <v>294</v>
      </c>
      <c r="J597" s="184" t="s">
        <v>386</v>
      </c>
      <c r="K597" s="184" t="s">
        <v>295</v>
      </c>
      <c r="L597" s="185">
        <v>1</v>
      </c>
      <c r="M597" s="186">
        <v>544.89</v>
      </c>
      <c r="N597" s="186">
        <v>0</v>
      </c>
      <c r="O597" s="125">
        <f t="shared" si="50"/>
        <v>544.89</v>
      </c>
      <c r="P597" s="164">
        <f t="shared" si="51"/>
        <v>-544.89</v>
      </c>
    </row>
    <row r="598" spans="1:17" ht="14.5" x14ac:dyDescent="0.35">
      <c r="A598" s="184" t="s">
        <v>155</v>
      </c>
      <c r="B598" s="184" t="s">
        <v>410</v>
      </c>
      <c r="C598" s="184" t="s">
        <v>175</v>
      </c>
      <c r="D598" s="185" t="s">
        <v>287</v>
      </c>
      <c r="E598" s="185">
        <v>16042</v>
      </c>
      <c r="F598" s="185" t="s">
        <v>149</v>
      </c>
      <c r="G598" s="189">
        <v>109001</v>
      </c>
      <c r="H598" s="184" t="s">
        <v>105</v>
      </c>
      <c r="I598" s="184" t="s">
        <v>294</v>
      </c>
      <c r="J598" s="184" t="s">
        <v>347</v>
      </c>
      <c r="K598" s="184" t="s">
        <v>295</v>
      </c>
      <c r="L598" s="185">
        <v>1</v>
      </c>
      <c r="M598" s="186">
        <v>422.2</v>
      </c>
      <c r="N598" s="186">
        <v>0</v>
      </c>
      <c r="O598" s="125">
        <f t="shared" si="50"/>
        <v>422.2</v>
      </c>
      <c r="P598" s="164">
        <f t="shared" si="51"/>
        <v>-422.2</v>
      </c>
    </row>
    <row r="599" spans="1:17" ht="14.5" x14ac:dyDescent="0.35">
      <c r="A599" s="184" t="s">
        <v>155</v>
      </c>
      <c r="B599" s="184" t="s">
        <v>410</v>
      </c>
      <c r="C599" s="184" t="s">
        <v>175</v>
      </c>
      <c r="D599" s="185" t="s">
        <v>287</v>
      </c>
      <c r="E599" s="185">
        <v>16043</v>
      </c>
      <c r="F599" s="185" t="s">
        <v>149</v>
      </c>
      <c r="G599" s="189">
        <v>109901</v>
      </c>
      <c r="H599" s="184" t="s">
        <v>106</v>
      </c>
      <c r="I599" s="184" t="s">
        <v>294</v>
      </c>
      <c r="J599" s="184" t="s">
        <v>295</v>
      </c>
      <c r="K599" s="184" t="s">
        <v>295</v>
      </c>
      <c r="L599" s="185">
        <v>1</v>
      </c>
      <c r="M599" s="186">
        <v>725635.9</v>
      </c>
      <c r="N599" s="186">
        <v>723000</v>
      </c>
      <c r="O599" s="125">
        <f t="shared" si="50"/>
        <v>2635.9000000000233</v>
      </c>
      <c r="P599"/>
    </row>
    <row r="600" spans="1:17" ht="14.5" x14ac:dyDescent="0.35">
      <c r="A600" s="184" t="s">
        <v>155</v>
      </c>
      <c r="B600" s="184" t="s">
        <v>410</v>
      </c>
      <c r="C600" s="184" t="s">
        <v>175</v>
      </c>
      <c r="D600" s="185" t="s">
        <v>287</v>
      </c>
      <c r="E600" s="185">
        <v>16044</v>
      </c>
      <c r="F600" s="185" t="s">
        <v>149</v>
      </c>
      <c r="G600" s="189">
        <v>109901</v>
      </c>
      <c r="H600" s="184" t="s">
        <v>106</v>
      </c>
      <c r="I600" s="184" t="s">
        <v>294</v>
      </c>
      <c r="J600" s="184" t="s">
        <v>349</v>
      </c>
      <c r="K600" s="184" t="s">
        <v>295</v>
      </c>
      <c r="L600" s="185">
        <v>1</v>
      </c>
      <c r="M600" s="186">
        <v>4920.29</v>
      </c>
      <c r="N600" s="186">
        <v>5000</v>
      </c>
      <c r="O600" s="125">
        <f t="shared" si="50"/>
        <v>-79.710000000000036</v>
      </c>
      <c r="P600"/>
    </row>
    <row r="601" spans="1:17" ht="14.5" x14ac:dyDescent="0.35">
      <c r="A601" s="184" t="s">
        <v>155</v>
      </c>
      <c r="B601" s="184" t="s">
        <v>410</v>
      </c>
      <c r="C601" s="184" t="s">
        <v>175</v>
      </c>
      <c r="D601" s="185" t="s">
        <v>287</v>
      </c>
      <c r="E601" s="185">
        <v>16045</v>
      </c>
      <c r="F601" s="185" t="s">
        <v>149</v>
      </c>
      <c r="G601" s="189">
        <v>109901</v>
      </c>
      <c r="H601" s="184" t="s">
        <v>106</v>
      </c>
      <c r="I601" s="184" t="s">
        <v>294</v>
      </c>
      <c r="J601" s="184" t="s">
        <v>392</v>
      </c>
      <c r="K601" s="184" t="s">
        <v>295</v>
      </c>
      <c r="L601" s="185">
        <v>1</v>
      </c>
      <c r="M601" s="186">
        <v>619.32000000000005</v>
      </c>
      <c r="N601" s="186">
        <v>0</v>
      </c>
      <c r="O601" s="125">
        <f t="shared" si="50"/>
        <v>619.32000000000005</v>
      </c>
      <c r="P601"/>
    </row>
    <row r="602" spans="1:17" ht="14.5" x14ac:dyDescent="0.35">
      <c r="A602" s="184" t="s">
        <v>155</v>
      </c>
      <c r="B602" s="184" t="s">
        <v>410</v>
      </c>
      <c r="C602" s="184" t="s">
        <v>175</v>
      </c>
      <c r="D602" s="185" t="s">
        <v>287</v>
      </c>
      <c r="E602" s="185">
        <v>16046</v>
      </c>
      <c r="F602" s="185" t="s">
        <v>149</v>
      </c>
      <c r="G602" s="189">
        <v>109901</v>
      </c>
      <c r="H602" s="184" t="s">
        <v>106</v>
      </c>
      <c r="I602" s="184" t="s">
        <v>294</v>
      </c>
      <c r="J602" s="184" t="s">
        <v>386</v>
      </c>
      <c r="K602" s="184" t="s">
        <v>295</v>
      </c>
      <c r="L602" s="185">
        <v>1</v>
      </c>
      <c r="M602" s="186">
        <v>839.9</v>
      </c>
      <c r="N602" s="186">
        <v>0</v>
      </c>
      <c r="O602" s="125">
        <f t="shared" si="50"/>
        <v>839.9</v>
      </c>
      <c r="P602"/>
    </row>
    <row r="603" spans="1:17" ht="14.5" x14ac:dyDescent="0.35">
      <c r="A603" s="184" t="s">
        <v>155</v>
      </c>
      <c r="B603" s="184" t="s">
        <v>410</v>
      </c>
      <c r="C603" s="184" t="s">
        <v>175</v>
      </c>
      <c r="D603" s="185" t="s">
        <v>287</v>
      </c>
      <c r="E603" s="185">
        <v>16047</v>
      </c>
      <c r="F603" s="185" t="s">
        <v>149</v>
      </c>
      <c r="G603" s="189">
        <v>109901</v>
      </c>
      <c r="H603" s="184" t="s">
        <v>106</v>
      </c>
      <c r="I603" s="184" t="s">
        <v>294</v>
      </c>
      <c r="J603" s="184" t="s">
        <v>347</v>
      </c>
      <c r="K603" s="184" t="s">
        <v>295</v>
      </c>
      <c r="L603" s="185">
        <v>1</v>
      </c>
      <c r="M603" s="186">
        <v>650.77</v>
      </c>
      <c r="N603" s="186">
        <v>0</v>
      </c>
      <c r="O603" s="125">
        <f t="shared" si="50"/>
        <v>650.77</v>
      </c>
      <c r="P603"/>
    </row>
    <row r="604" spans="1:17" ht="14.5" x14ac:dyDescent="0.35">
      <c r="A604" s="184" t="s">
        <v>155</v>
      </c>
      <c r="B604" s="184" t="s">
        <v>411</v>
      </c>
      <c r="C604" s="184" t="s">
        <v>68</v>
      </c>
      <c r="D604" s="185" t="s">
        <v>287</v>
      </c>
      <c r="E604" s="185">
        <v>16148</v>
      </c>
      <c r="F604" s="185" t="s">
        <v>149</v>
      </c>
      <c r="G604" s="184">
        <v>101001</v>
      </c>
      <c r="H604" s="184" t="s">
        <v>108</v>
      </c>
      <c r="I604" s="184" t="s">
        <v>294</v>
      </c>
      <c r="J604" s="184" t="s">
        <v>295</v>
      </c>
      <c r="K604" s="184" t="s">
        <v>295</v>
      </c>
      <c r="L604" s="185">
        <v>1</v>
      </c>
      <c r="M604" s="186">
        <v>8533084.5800000001</v>
      </c>
      <c r="N604" s="186">
        <v>8791000</v>
      </c>
      <c r="O604" s="125">
        <f t="shared" si="50"/>
        <v>-257915.41999999993</v>
      </c>
      <c r="P604" s="125"/>
      <c r="Q604" s="73">
        <f t="shared" ref="Q604:Q618" si="52">M604*$Q$7*1.141</f>
        <v>973624.95057800016</v>
      </c>
    </row>
    <row r="605" spans="1:17" ht="14.5" x14ac:dyDescent="0.35">
      <c r="A605" s="184" t="s">
        <v>155</v>
      </c>
      <c r="B605" s="184" t="s">
        <v>411</v>
      </c>
      <c r="C605" s="184" t="s">
        <v>68</v>
      </c>
      <c r="D605" s="185" t="s">
        <v>287</v>
      </c>
      <c r="E605" s="185">
        <v>16149</v>
      </c>
      <c r="F605" s="185" t="s">
        <v>149</v>
      </c>
      <c r="G605" s="184">
        <v>101002</v>
      </c>
      <c r="H605" s="184" t="s">
        <v>109</v>
      </c>
      <c r="I605" s="184" t="s">
        <v>294</v>
      </c>
      <c r="J605" s="184" t="s">
        <v>349</v>
      </c>
      <c r="K605" s="184" t="s">
        <v>295</v>
      </c>
      <c r="L605" s="185">
        <v>1</v>
      </c>
      <c r="M605" s="186">
        <v>0</v>
      </c>
      <c r="N605" s="186">
        <v>166000</v>
      </c>
      <c r="O605" s="125">
        <f t="shared" si="50"/>
        <v>-166000</v>
      </c>
      <c r="P605" s="125"/>
      <c r="Q605" s="73">
        <f t="shared" si="52"/>
        <v>0</v>
      </c>
    </row>
    <row r="606" spans="1:17" ht="14.5" x14ac:dyDescent="0.35">
      <c r="A606" s="184" t="s">
        <v>155</v>
      </c>
      <c r="B606" s="184" t="s">
        <v>411</v>
      </c>
      <c r="C606" s="184" t="s">
        <v>68</v>
      </c>
      <c r="D606" s="185" t="s">
        <v>287</v>
      </c>
      <c r="E606" s="185">
        <v>16150</v>
      </c>
      <c r="F606" s="185" t="s">
        <v>149</v>
      </c>
      <c r="G606" s="184">
        <v>101039</v>
      </c>
      <c r="H606" s="184" t="s">
        <v>111</v>
      </c>
      <c r="I606" s="184" t="s">
        <v>294</v>
      </c>
      <c r="J606" s="184" t="s">
        <v>295</v>
      </c>
      <c r="K606" s="184" t="s">
        <v>295</v>
      </c>
      <c r="L606" s="185">
        <v>1</v>
      </c>
      <c r="M606" s="186">
        <v>235414</v>
      </c>
      <c r="N606" s="186">
        <v>7000</v>
      </c>
      <c r="O606" s="125">
        <f t="shared" si="50"/>
        <v>228414</v>
      </c>
      <c r="P606" s="125"/>
      <c r="Q606" s="73">
        <f t="shared" si="52"/>
        <v>26860.737400000002</v>
      </c>
    </row>
    <row r="607" spans="1:17" ht="14.5" x14ac:dyDescent="0.35">
      <c r="A607" s="184" t="s">
        <v>155</v>
      </c>
      <c r="B607" s="184" t="s">
        <v>411</v>
      </c>
      <c r="C607" s="184" t="s">
        <v>68</v>
      </c>
      <c r="D607" s="185" t="s">
        <v>287</v>
      </c>
      <c r="E607" s="185">
        <v>16151</v>
      </c>
      <c r="F607" s="185" t="s">
        <v>149</v>
      </c>
      <c r="G607" s="184">
        <v>102003</v>
      </c>
      <c r="H607" s="184" t="s">
        <v>110</v>
      </c>
      <c r="I607" s="184" t="s">
        <v>294</v>
      </c>
      <c r="J607" s="184" t="s">
        <v>295</v>
      </c>
      <c r="K607" s="184" t="s">
        <v>295</v>
      </c>
      <c r="L607" s="185">
        <v>1</v>
      </c>
      <c r="M607" s="186">
        <v>484936.39</v>
      </c>
      <c r="N607" s="186">
        <v>195000</v>
      </c>
      <c r="O607" s="125">
        <f t="shared" si="50"/>
        <v>289936.39</v>
      </c>
      <c r="P607" s="125"/>
      <c r="Q607" s="73">
        <f t="shared" si="52"/>
        <v>55331.242099000003</v>
      </c>
    </row>
    <row r="608" spans="1:17" ht="14.5" x14ac:dyDescent="0.35">
      <c r="A608" s="184" t="s">
        <v>155</v>
      </c>
      <c r="B608" s="184" t="s">
        <v>411</v>
      </c>
      <c r="C608" s="184" t="s">
        <v>68</v>
      </c>
      <c r="D608" s="185" t="s">
        <v>287</v>
      </c>
      <c r="E608" s="185">
        <v>16152</v>
      </c>
      <c r="F608" s="185" t="s">
        <v>149</v>
      </c>
      <c r="G608" s="184">
        <v>102003</v>
      </c>
      <c r="H608" s="184" t="s">
        <v>110</v>
      </c>
      <c r="I608" s="184" t="s">
        <v>294</v>
      </c>
      <c r="J608" s="184" t="s">
        <v>349</v>
      </c>
      <c r="K608" s="184" t="s">
        <v>295</v>
      </c>
      <c r="L608" s="185">
        <v>1</v>
      </c>
      <c r="M608" s="186">
        <v>166296.67000000001</v>
      </c>
      <c r="N608" s="186">
        <v>0</v>
      </c>
      <c r="O608" s="125">
        <f t="shared" si="50"/>
        <v>166296.67000000001</v>
      </c>
      <c r="P608" s="125"/>
      <c r="Q608" s="73">
        <f t="shared" si="52"/>
        <v>18974.450047000002</v>
      </c>
    </row>
    <row r="609" spans="1:17" ht="14.5" x14ac:dyDescent="0.35">
      <c r="A609" s="184" t="s">
        <v>155</v>
      </c>
      <c r="B609" s="184" t="s">
        <v>411</v>
      </c>
      <c r="C609" s="184" t="s">
        <v>68</v>
      </c>
      <c r="D609" s="185" t="s">
        <v>287</v>
      </c>
      <c r="E609" s="185">
        <v>16153</v>
      </c>
      <c r="F609" s="185" t="s">
        <v>149</v>
      </c>
      <c r="G609" s="184">
        <v>102005</v>
      </c>
      <c r="H609" s="184" t="s">
        <v>116</v>
      </c>
      <c r="I609" s="184" t="s">
        <v>294</v>
      </c>
      <c r="J609" s="184" t="s">
        <v>295</v>
      </c>
      <c r="K609" s="184" t="s">
        <v>295</v>
      </c>
      <c r="L609" s="185">
        <v>1</v>
      </c>
      <c r="M609" s="186">
        <v>144121.35</v>
      </c>
      <c r="N609" s="186">
        <v>32000</v>
      </c>
      <c r="O609" s="125">
        <f t="shared" si="50"/>
        <v>112121.35</v>
      </c>
      <c r="P609" s="125"/>
      <c r="Q609" s="73">
        <f t="shared" si="52"/>
        <v>16444.246035000004</v>
      </c>
    </row>
    <row r="610" spans="1:17" ht="14.5" x14ac:dyDescent="0.35">
      <c r="A610" s="184" t="s">
        <v>155</v>
      </c>
      <c r="B610" s="184" t="s">
        <v>411</v>
      </c>
      <c r="C610" s="184" t="s">
        <v>68</v>
      </c>
      <c r="D610" s="185" t="s">
        <v>287</v>
      </c>
      <c r="E610" s="185">
        <v>16154</v>
      </c>
      <c r="F610" s="185" t="s">
        <v>149</v>
      </c>
      <c r="G610" s="184">
        <v>102062</v>
      </c>
      <c r="H610" s="184" t="s">
        <v>117</v>
      </c>
      <c r="I610" s="184" t="s">
        <v>294</v>
      </c>
      <c r="J610" s="184" t="s">
        <v>295</v>
      </c>
      <c r="K610" s="184" t="s">
        <v>295</v>
      </c>
      <c r="L610" s="185">
        <v>1</v>
      </c>
      <c r="M610" s="186">
        <v>5619.71</v>
      </c>
      <c r="N610" s="186">
        <v>0</v>
      </c>
      <c r="O610" s="125">
        <f t="shared" si="50"/>
        <v>5619.71</v>
      </c>
      <c r="P610" s="125"/>
      <c r="Q610" s="73">
        <f t="shared" si="52"/>
        <v>641.20891100000006</v>
      </c>
    </row>
    <row r="611" spans="1:17" ht="14.5" x14ac:dyDescent="0.35">
      <c r="A611" s="184" t="s">
        <v>155</v>
      </c>
      <c r="B611" s="184" t="s">
        <v>411</v>
      </c>
      <c r="C611" s="184" t="s">
        <v>68</v>
      </c>
      <c r="D611" s="185" t="s">
        <v>287</v>
      </c>
      <c r="E611" s="185">
        <v>16155</v>
      </c>
      <c r="F611" s="185" t="s">
        <v>149</v>
      </c>
      <c r="G611" s="184">
        <v>103002</v>
      </c>
      <c r="H611" s="184" t="s">
        <v>119</v>
      </c>
      <c r="I611" s="184" t="s">
        <v>294</v>
      </c>
      <c r="J611" s="184" t="s">
        <v>295</v>
      </c>
      <c r="K611" s="184" t="s">
        <v>295</v>
      </c>
      <c r="L611" s="185">
        <v>1</v>
      </c>
      <c r="M611" s="186">
        <v>11753.65</v>
      </c>
      <c r="N611" s="186">
        <v>0</v>
      </c>
      <c r="O611" s="125">
        <f t="shared" si="50"/>
        <v>11753.65</v>
      </c>
      <c r="P611" s="125"/>
      <c r="Q611" s="73">
        <f t="shared" si="52"/>
        <v>1341.091465</v>
      </c>
    </row>
    <row r="612" spans="1:17" ht="14.5" x14ac:dyDescent="0.35">
      <c r="A612" s="184" t="s">
        <v>155</v>
      </c>
      <c r="B612" s="184" t="s">
        <v>411</v>
      </c>
      <c r="C612" s="184" t="s">
        <v>68</v>
      </c>
      <c r="D612" s="185" t="s">
        <v>287</v>
      </c>
      <c r="E612" s="185">
        <v>16156</v>
      </c>
      <c r="F612" s="185" t="s">
        <v>149</v>
      </c>
      <c r="G612" s="184">
        <v>103069</v>
      </c>
      <c r="H612" s="184" t="s">
        <v>225</v>
      </c>
      <c r="I612" s="184" t="s">
        <v>294</v>
      </c>
      <c r="J612" s="184" t="s">
        <v>295</v>
      </c>
      <c r="K612" s="184" t="s">
        <v>295</v>
      </c>
      <c r="L612" s="185">
        <v>1</v>
      </c>
      <c r="M612" s="186">
        <v>5523.42</v>
      </c>
      <c r="N612" s="186">
        <v>0</v>
      </c>
      <c r="O612" s="125">
        <f t="shared" si="50"/>
        <v>5523.42</v>
      </c>
      <c r="P612" s="125"/>
      <c r="Q612" s="73">
        <f t="shared" si="52"/>
        <v>630.22222199999999</v>
      </c>
    </row>
    <row r="613" spans="1:17" ht="14.5" x14ac:dyDescent="0.35">
      <c r="A613" s="184" t="s">
        <v>155</v>
      </c>
      <c r="B613" s="184" t="s">
        <v>411</v>
      </c>
      <c r="C613" s="184" t="s">
        <v>68</v>
      </c>
      <c r="D613" s="185" t="s">
        <v>287</v>
      </c>
      <c r="E613" s="185">
        <v>16157</v>
      </c>
      <c r="F613" s="185" t="s">
        <v>149</v>
      </c>
      <c r="G613" s="184">
        <v>104000</v>
      </c>
      <c r="H613" s="184" t="s">
        <v>114</v>
      </c>
      <c r="I613" s="184" t="s">
        <v>294</v>
      </c>
      <c r="J613" s="184" t="s">
        <v>295</v>
      </c>
      <c r="K613" s="184" t="s">
        <v>295</v>
      </c>
      <c r="L613" s="185">
        <v>1</v>
      </c>
      <c r="M613" s="186">
        <v>89743.83</v>
      </c>
      <c r="N613" s="186">
        <v>69000</v>
      </c>
      <c r="O613" s="125">
        <f t="shared" si="50"/>
        <v>20743.830000000002</v>
      </c>
      <c r="P613" s="125"/>
      <c r="Q613" s="73">
        <f t="shared" si="52"/>
        <v>10239.771003</v>
      </c>
    </row>
    <row r="614" spans="1:17" ht="14.5" x14ac:dyDescent="0.35">
      <c r="A614" s="184" t="s">
        <v>155</v>
      </c>
      <c r="B614" s="184" t="s">
        <v>411</v>
      </c>
      <c r="C614" s="184" t="s">
        <v>68</v>
      </c>
      <c r="D614" s="185" t="s">
        <v>287</v>
      </c>
      <c r="E614" s="185">
        <v>16158</v>
      </c>
      <c r="F614" s="185" t="s">
        <v>149</v>
      </c>
      <c r="G614" s="184">
        <v>104000</v>
      </c>
      <c r="H614" s="184" t="s">
        <v>114</v>
      </c>
      <c r="I614" s="184" t="s">
        <v>294</v>
      </c>
      <c r="J614" s="184" t="s">
        <v>349</v>
      </c>
      <c r="K614" s="184" t="s">
        <v>295</v>
      </c>
      <c r="L614" s="185">
        <v>1</v>
      </c>
      <c r="M614" s="186">
        <v>65318.19</v>
      </c>
      <c r="N614" s="186">
        <v>65000</v>
      </c>
      <c r="O614" s="125">
        <f t="shared" si="50"/>
        <v>318.19000000000233</v>
      </c>
      <c r="P614" s="125"/>
      <c r="Q614" s="73">
        <f t="shared" si="52"/>
        <v>7452.8054790000006</v>
      </c>
    </row>
    <row r="615" spans="1:17" ht="14.5" x14ac:dyDescent="0.35">
      <c r="A615" s="184" t="s">
        <v>155</v>
      </c>
      <c r="B615" s="184" t="s">
        <v>411</v>
      </c>
      <c r="C615" s="184" t="s">
        <v>68</v>
      </c>
      <c r="D615" s="185" t="s">
        <v>287</v>
      </c>
      <c r="E615" s="185">
        <v>16159</v>
      </c>
      <c r="F615" s="185" t="s">
        <v>149</v>
      </c>
      <c r="G615" s="184">
        <v>105003</v>
      </c>
      <c r="H615" s="184" t="s">
        <v>317</v>
      </c>
      <c r="I615" s="184" t="s">
        <v>294</v>
      </c>
      <c r="J615" s="184" t="s">
        <v>295</v>
      </c>
      <c r="K615" s="184" t="s">
        <v>295</v>
      </c>
      <c r="L615" s="185">
        <v>1</v>
      </c>
      <c r="M615" s="186">
        <v>282937.82</v>
      </c>
      <c r="N615" s="186">
        <v>0</v>
      </c>
      <c r="O615" s="125">
        <f t="shared" si="50"/>
        <v>282937.82</v>
      </c>
      <c r="P615" s="125"/>
      <c r="Q615" s="73">
        <f t="shared" si="52"/>
        <v>32283.205262000003</v>
      </c>
    </row>
    <row r="616" spans="1:17" ht="14.5" x14ac:dyDescent="0.35">
      <c r="A616" s="184" t="s">
        <v>155</v>
      </c>
      <c r="B616" s="184" t="s">
        <v>411</v>
      </c>
      <c r="C616" s="184" t="s">
        <v>68</v>
      </c>
      <c r="D616" s="185" t="s">
        <v>287</v>
      </c>
      <c r="E616" s="185">
        <v>16160</v>
      </c>
      <c r="F616" s="185" t="s">
        <v>149</v>
      </c>
      <c r="G616" s="184">
        <v>105019</v>
      </c>
      <c r="H616" s="184" t="s">
        <v>115</v>
      </c>
      <c r="I616" s="184" t="s">
        <v>294</v>
      </c>
      <c r="J616" s="184" t="s">
        <v>295</v>
      </c>
      <c r="K616" s="184" t="s">
        <v>295</v>
      </c>
      <c r="L616" s="185">
        <v>1</v>
      </c>
      <c r="M616" s="186">
        <v>115.54</v>
      </c>
      <c r="N616" s="186">
        <v>0</v>
      </c>
      <c r="O616" s="125">
        <f t="shared" si="50"/>
        <v>115.54</v>
      </c>
      <c r="P616" s="125"/>
      <c r="Q616" s="73">
        <f t="shared" si="52"/>
        <v>13.183114000000003</v>
      </c>
    </row>
    <row r="617" spans="1:17" ht="14.5" x14ac:dyDescent="0.35">
      <c r="A617" s="184" t="s">
        <v>155</v>
      </c>
      <c r="B617" s="184" t="s">
        <v>411</v>
      </c>
      <c r="C617" s="184" t="s">
        <v>68</v>
      </c>
      <c r="D617" s="185" t="s">
        <v>287</v>
      </c>
      <c r="E617" s="185">
        <v>16161</v>
      </c>
      <c r="F617" s="185" t="s">
        <v>149</v>
      </c>
      <c r="G617" s="184">
        <v>105098</v>
      </c>
      <c r="H617" s="184" t="s">
        <v>314</v>
      </c>
      <c r="I617" s="184" t="s">
        <v>294</v>
      </c>
      <c r="J617" s="184" t="s">
        <v>391</v>
      </c>
      <c r="K617" s="184" t="s">
        <v>295</v>
      </c>
      <c r="L617" s="185">
        <v>1</v>
      </c>
      <c r="M617" s="186">
        <v>-4392</v>
      </c>
      <c r="N617" s="186">
        <v>0</v>
      </c>
      <c r="O617" s="125">
        <f t="shared" si="50"/>
        <v>-4392</v>
      </c>
      <c r="P617" s="125"/>
      <c r="Q617" s="73">
        <f t="shared" si="52"/>
        <v>-501.12720000000007</v>
      </c>
    </row>
    <row r="618" spans="1:17" ht="14.5" x14ac:dyDescent="0.35">
      <c r="A618" s="184" t="s">
        <v>155</v>
      </c>
      <c r="B618" s="184" t="s">
        <v>411</v>
      </c>
      <c r="C618" s="184" t="s">
        <v>68</v>
      </c>
      <c r="D618" s="185" t="s">
        <v>287</v>
      </c>
      <c r="E618" s="185">
        <v>16162</v>
      </c>
      <c r="F618" s="185" t="s">
        <v>149</v>
      </c>
      <c r="G618" s="184">
        <v>105099</v>
      </c>
      <c r="H618" s="184" t="s">
        <v>107</v>
      </c>
      <c r="I618" s="184" t="s">
        <v>294</v>
      </c>
      <c r="J618" s="184" t="s">
        <v>392</v>
      </c>
      <c r="K618" s="184" t="s">
        <v>295</v>
      </c>
      <c r="L618" s="185">
        <v>1</v>
      </c>
      <c r="M618" s="186">
        <v>4392</v>
      </c>
      <c r="N618" s="186">
        <v>0</v>
      </c>
      <c r="O618" s="125">
        <f t="shared" si="50"/>
        <v>4392</v>
      </c>
      <c r="P618" s="125"/>
      <c r="Q618" s="73">
        <f t="shared" si="52"/>
        <v>501.12720000000007</v>
      </c>
    </row>
    <row r="619" spans="1:17" ht="14.5" x14ac:dyDescent="0.35">
      <c r="A619" s="184" t="s">
        <v>155</v>
      </c>
      <c r="B619" s="184" t="s">
        <v>411</v>
      </c>
      <c r="C619" s="184" t="s">
        <v>68</v>
      </c>
      <c r="D619" s="185" t="s">
        <v>287</v>
      </c>
      <c r="E619" s="185">
        <v>16163</v>
      </c>
      <c r="F619" s="185" t="s">
        <v>149</v>
      </c>
      <c r="G619" s="189">
        <v>109001</v>
      </c>
      <c r="H619" s="184" t="s">
        <v>105</v>
      </c>
      <c r="I619" s="184" t="s">
        <v>294</v>
      </c>
      <c r="J619" s="184" t="s">
        <v>295</v>
      </c>
      <c r="K619" s="184" t="s">
        <v>295</v>
      </c>
      <c r="L619" s="185">
        <v>1</v>
      </c>
      <c r="M619" s="186">
        <v>956336.32</v>
      </c>
      <c r="N619" s="186">
        <v>911000</v>
      </c>
      <c r="O619" s="125">
        <f t="shared" si="50"/>
        <v>45336.319999999949</v>
      </c>
      <c r="P619" s="164">
        <f t="shared" ref="P619:P620" si="53">M619*-1</f>
        <v>-956336.32</v>
      </c>
    </row>
    <row r="620" spans="1:17" ht="14.5" x14ac:dyDescent="0.35">
      <c r="A620" s="184" t="s">
        <v>155</v>
      </c>
      <c r="B620" s="184" t="s">
        <v>411</v>
      </c>
      <c r="C620" s="184" t="s">
        <v>68</v>
      </c>
      <c r="D620" s="185" t="s">
        <v>287</v>
      </c>
      <c r="E620" s="185">
        <v>16164</v>
      </c>
      <c r="F620" s="185" t="s">
        <v>149</v>
      </c>
      <c r="G620" s="189">
        <v>109001</v>
      </c>
      <c r="H620" s="184" t="s">
        <v>105</v>
      </c>
      <c r="I620" s="184" t="s">
        <v>294</v>
      </c>
      <c r="J620" s="184" t="s">
        <v>349</v>
      </c>
      <c r="K620" s="184" t="s">
        <v>295</v>
      </c>
      <c r="L620" s="185">
        <v>1</v>
      </c>
      <c r="M620" s="186">
        <v>16743.419999999998</v>
      </c>
      <c r="N620" s="186">
        <v>17000</v>
      </c>
      <c r="O620" s="125">
        <f t="shared" si="50"/>
        <v>-256.58000000000175</v>
      </c>
      <c r="P620" s="164">
        <f t="shared" si="53"/>
        <v>-16743.419999999998</v>
      </c>
    </row>
    <row r="621" spans="1:17" ht="14.5" x14ac:dyDescent="0.35">
      <c r="A621" s="184" t="s">
        <v>155</v>
      </c>
      <c r="B621" s="184" t="s">
        <v>411</v>
      </c>
      <c r="C621" s="184" t="s">
        <v>68</v>
      </c>
      <c r="D621" s="185" t="s">
        <v>287</v>
      </c>
      <c r="E621" s="185">
        <v>16165</v>
      </c>
      <c r="F621" s="185" t="s">
        <v>149</v>
      </c>
      <c r="G621" s="189">
        <v>109901</v>
      </c>
      <c r="H621" s="184" t="s">
        <v>106</v>
      </c>
      <c r="I621" s="184" t="s">
        <v>294</v>
      </c>
      <c r="J621" s="184" t="s">
        <v>295</v>
      </c>
      <c r="K621" s="184" t="s">
        <v>295</v>
      </c>
      <c r="L621" s="185">
        <v>1</v>
      </c>
      <c r="M621" s="186">
        <v>1409980.45</v>
      </c>
      <c r="N621" s="186">
        <v>1414000</v>
      </c>
      <c r="O621" s="125">
        <f t="shared" si="50"/>
        <v>-4019.5500000000466</v>
      </c>
      <c r="P621" s="125"/>
    </row>
    <row r="622" spans="1:17" ht="14.5" x14ac:dyDescent="0.35">
      <c r="A622" s="184" t="s">
        <v>155</v>
      </c>
      <c r="B622" s="184" t="s">
        <v>411</v>
      </c>
      <c r="C622" s="184" t="s">
        <v>68</v>
      </c>
      <c r="D622" s="185" t="s">
        <v>287</v>
      </c>
      <c r="E622" s="185">
        <v>16166</v>
      </c>
      <c r="F622" s="185" t="s">
        <v>149</v>
      </c>
      <c r="G622" s="189">
        <v>109901</v>
      </c>
      <c r="H622" s="184" t="s">
        <v>106</v>
      </c>
      <c r="I622" s="184" t="s">
        <v>294</v>
      </c>
      <c r="J622" s="184" t="s">
        <v>349</v>
      </c>
      <c r="K622" s="184" t="s">
        <v>295</v>
      </c>
      <c r="L622" s="185">
        <v>1</v>
      </c>
      <c r="M622" s="186">
        <v>35018.51</v>
      </c>
      <c r="N622" s="186">
        <v>35000</v>
      </c>
      <c r="O622" s="125">
        <f t="shared" si="50"/>
        <v>18.510000000002037</v>
      </c>
      <c r="P622" s="125"/>
    </row>
    <row r="623" spans="1:17" ht="14.5" x14ac:dyDescent="0.35">
      <c r="A623" s="184" t="s">
        <v>155</v>
      </c>
      <c r="B623" s="184" t="s">
        <v>411</v>
      </c>
      <c r="C623" s="184" t="s">
        <v>68</v>
      </c>
      <c r="D623" s="185" t="s">
        <v>287</v>
      </c>
      <c r="E623" s="185">
        <v>16167</v>
      </c>
      <c r="F623" s="185" t="s">
        <v>149</v>
      </c>
      <c r="G623" s="189">
        <v>109901</v>
      </c>
      <c r="H623" s="184" t="s">
        <v>106</v>
      </c>
      <c r="I623" s="184" t="s">
        <v>294</v>
      </c>
      <c r="J623" s="184" t="s">
        <v>392</v>
      </c>
      <c r="K623" s="184" t="s">
        <v>295</v>
      </c>
      <c r="L623" s="185">
        <v>1</v>
      </c>
      <c r="M623" s="186">
        <v>619.32000000000005</v>
      </c>
      <c r="N623" s="186">
        <v>0</v>
      </c>
      <c r="O623" s="125">
        <f t="shared" si="50"/>
        <v>619.32000000000005</v>
      </c>
      <c r="P623" s="125"/>
    </row>
    <row r="624" spans="1:17" ht="14.5" x14ac:dyDescent="0.35">
      <c r="A624" s="184" t="s">
        <v>155</v>
      </c>
      <c r="B624" s="184" t="s">
        <v>412</v>
      </c>
      <c r="C624" s="184" t="s">
        <v>176</v>
      </c>
      <c r="D624" s="185" t="s">
        <v>287</v>
      </c>
      <c r="E624" s="185">
        <v>16250</v>
      </c>
      <c r="F624" s="185" t="s">
        <v>149</v>
      </c>
      <c r="G624" s="184">
        <v>101001</v>
      </c>
      <c r="H624" s="184" t="s">
        <v>108</v>
      </c>
      <c r="I624" s="184" t="s">
        <v>294</v>
      </c>
      <c r="J624" s="184" t="s">
        <v>295</v>
      </c>
      <c r="K624" s="184" t="s">
        <v>295</v>
      </c>
      <c r="L624" s="185">
        <v>1</v>
      </c>
      <c r="M624" s="186">
        <v>8065794.9000000004</v>
      </c>
      <c r="N624" s="186">
        <v>8381000</v>
      </c>
      <c r="O624" s="125">
        <f t="shared" si="50"/>
        <v>-315205.09999999963</v>
      </c>
      <c r="P624" s="125"/>
      <c r="Q624" s="73">
        <f t="shared" ref="Q624:Q647" si="54">M624*$Q$7*1.141</f>
        <v>920307.19809000008</v>
      </c>
    </row>
    <row r="625" spans="1:17" ht="14.5" x14ac:dyDescent="0.35">
      <c r="A625" s="184" t="s">
        <v>155</v>
      </c>
      <c r="B625" s="184" t="s">
        <v>412</v>
      </c>
      <c r="C625" s="184" t="s">
        <v>176</v>
      </c>
      <c r="D625" s="185" t="s">
        <v>287</v>
      </c>
      <c r="E625" s="185">
        <v>16251</v>
      </c>
      <c r="F625" s="185" t="s">
        <v>149</v>
      </c>
      <c r="G625" s="184">
        <v>101002</v>
      </c>
      <c r="H625" s="184" t="s">
        <v>109</v>
      </c>
      <c r="I625" s="184" t="s">
        <v>294</v>
      </c>
      <c r="J625" s="184" t="s">
        <v>295</v>
      </c>
      <c r="K625" s="184" t="s">
        <v>295</v>
      </c>
      <c r="L625" s="185">
        <v>1</v>
      </c>
      <c r="M625" s="186">
        <v>23228.02</v>
      </c>
      <c r="N625" s="186">
        <v>0</v>
      </c>
      <c r="O625" s="125">
        <f t="shared" si="50"/>
        <v>23228.02</v>
      </c>
      <c r="P625" s="125"/>
      <c r="Q625" s="73">
        <f t="shared" si="54"/>
        <v>2650.317082</v>
      </c>
    </row>
    <row r="626" spans="1:17" ht="14.5" x14ac:dyDescent="0.35">
      <c r="A626" s="184" t="s">
        <v>155</v>
      </c>
      <c r="B626" s="184" t="s">
        <v>412</v>
      </c>
      <c r="C626" s="184" t="s">
        <v>176</v>
      </c>
      <c r="D626" s="185" t="s">
        <v>287</v>
      </c>
      <c r="E626" s="185">
        <v>16252</v>
      </c>
      <c r="F626" s="185" t="s">
        <v>149</v>
      </c>
      <c r="G626" s="184">
        <v>101002</v>
      </c>
      <c r="H626" s="184" t="s">
        <v>109</v>
      </c>
      <c r="I626" s="184" t="s">
        <v>294</v>
      </c>
      <c r="J626" s="184" t="s">
        <v>349</v>
      </c>
      <c r="K626" s="184" t="s">
        <v>295</v>
      </c>
      <c r="L626" s="185">
        <v>1</v>
      </c>
      <c r="M626" s="186">
        <v>2751.67</v>
      </c>
      <c r="N626" s="186">
        <v>95000</v>
      </c>
      <c r="O626" s="125">
        <f t="shared" si="50"/>
        <v>-92248.33</v>
      </c>
      <c r="P626" s="125"/>
      <c r="Q626" s="73">
        <f t="shared" si="54"/>
        <v>313.96554700000002</v>
      </c>
    </row>
    <row r="627" spans="1:17" ht="14.5" x14ac:dyDescent="0.35">
      <c r="A627" s="184" t="s">
        <v>155</v>
      </c>
      <c r="B627" s="184" t="s">
        <v>412</v>
      </c>
      <c r="C627" s="184" t="s">
        <v>176</v>
      </c>
      <c r="D627" s="185" t="s">
        <v>287</v>
      </c>
      <c r="E627" s="185">
        <v>16253</v>
      </c>
      <c r="F627" s="185" t="s">
        <v>149</v>
      </c>
      <c r="G627" s="184">
        <v>101002</v>
      </c>
      <c r="H627" s="184" t="s">
        <v>109</v>
      </c>
      <c r="I627" s="184" t="s">
        <v>294</v>
      </c>
      <c r="J627" s="184" t="s">
        <v>347</v>
      </c>
      <c r="K627" s="184" t="s">
        <v>295</v>
      </c>
      <c r="L627" s="185">
        <v>1</v>
      </c>
      <c r="M627" s="186">
        <v>10351.92</v>
      </c>
      <c r="N627" s="186">
        <v>0</v>
      </c>
      <c r="O627" s="125">
        <f t="shared" si="50"/>
        <v>10351.92</v>
      </c>
      <c r="P627" s="125"/>
      <c r="Q627" s="73">
        <f t="shared" si="54"/>
        <v>1181.154072</v>
      </c>
    </row>
    <row r="628" spans="1:17" ht="14.5" x14ac:dyDescent="0.35">
      <c r="A628" s="184" t="s">
        <v>155</v>
      </c>
      <c r="B628" s="184" t="s">
        <v>412</v>
      </c>
      <c r="C628" s="184" t="s">
        <v>176</v>
      </c>
      <c r="D628" s="185" t="s">
        <v>287</v>
      </c>
      <c r="E628" s="185">
        <v>16254</v>
      </c>
      <c r="F628" s="185" t="s">
        <v>149</v>
      </c>
      <c r="G628" s="184">
        <v>101031</v>
      </c>
      <c r="H628" s="184" t="s">
        <v>156</v>
      </c>
      <c r="I628" s="184" t="s">
        <v>294</v>
      </c>
      <c r="J628" s="184" t="s">
        <v>295</v>
      </c>
      <c r="K628" s="184" t="s">
        <v>295</v>
      </c>
      <c r="L628" s="185">
        <v>1</v>
      </c>
      <c r="M628" s="186">
        <v>0</v>
      </c>
      <c r="N628" s="186">
        <v>0</v>
      </c>
      <c r="O628" s="125">
        <f t="shared" si="50"/>
        <v>0</v>
      </c>
      <c r="P628" s="125"/>
      <c r="Q628" s="73">
        <f t="shared" si="54"/>
        <v>0</v>
      </c>
    </row>
    <row r="629" spans="1:17" ht="14.5" x14ac:dyDescent="0.35">
      <c r="A629" s="184" t="s">
        <v>155</v>
      </c>
      <c r="B629" s="184" t="s">
        <v>412</v>
      </c>
      <c r="C629" s="184" t="s">
        <v>176</v>
      </c>
      <c r="D629" s="185" t="s">
        <v>287</v>
      </c>
      <c r="E629" s="185">
        <v>16255</v>
      </c>
      <c r="F629" s="185" t="s">
        <v>149</v>
      </c>
      <c r="G629" s="184">
        <v>101039</v>
      </c>
      <c r="H629" s="184" t="s">
        <v>111</v>
      </c>
      <c r="I629" s="184" t="s">
        <v>294</v>
      </c>
      <c r="J629" s="184" t="s">
        <v>295</v>
      </c>
      <c r="K629" s="184" t="s">
        <v>295</v>
      </c>
      <c r="L629" s="185">
        <v>1</v>
      </c>
      <c r="M629" s="186">
        <v>329540.14</v>
      </c>
      <c r="N629" s="186">
        <v>7000</v>
      </c>
      <c r="O629" s="125">
        <f t="shared" si="50"/>
        <v>322540.14</v>
      </c>
      <c r="P629" s="125"/>
      <c r="Q629" s="73">
        <f t="shared" si="54"/>
        <v>37600.529974000005</v>
      </c>
    </row>
    <row r="630" spans="1:17" ht="14.5" x14ac:dyDescent="0.35">
      <c r="A630" s="184" t="s">
        <v>155</v>
      </c>
      <c r="B630" s="184" t="s">
        <v>412</v>
      </c>
      <c r="C630" s="184" t="s">
        <v>176</v>
      </c>
      <c r="D630" s="185" t="s">
        <v>287</v>
      </c>
      <c r="E630" s="185">
        <v>16256</v>
      </c>
      <c r="F630" s="185" t="s">
        <v>149</v>
      </c>
      <c r="G630" s="184">
        <v>102002</v>
      </c>
      <c r="H630" s="184" t="s">
        <v>112</v>
      </c>
      <c r="I630" s="184" t="s">
        <v>294</v>
      </c>
      <c r="J630" s="184" t="s">
        <v>295</v>
      </c>
      <c r="K630" s="184" t="s">
        <v>295</v>
      </c>
      <c r="L630" s="185">
        <v>1</v>
      </c>
      <c r="M630" s="186">
        <v>34989.449999999997</v>
      </c>
      <c r="N630" s="186">
        <v>0</v>
      </c>
      <c r="O630" s="125">
        <f t="shared" si="50"/>
        <v>34989.449999999997</v>
      </c>
      <c r="P630" s="125"/>
      <c r="Q630" s="73">
        <f t="shared" si="54"/>
        <v>3992.2962449999995</v>
      </c>
    </row>
    <row r="631" spans="1:17" ht="14.5" x14ac:dyDescent="0.35">
      <c r="A631" s="184" t="s">
        <v>155</v>
      </c>
      <c r="B631" s="184" t="s">
        <v>412</v>
      </c>
      <c r="C631" s="184" t="s">
        <v>176</v>
      </c>
      <c r="D631" s="185" t="s">
        <v>287</v>
      </c>
      <c r="E631" s="185">
        <v>16257</v>
      </c>
      <c r="F631" s="185" t="s">
        <v>149</v>
      </c>
      <c r="G631" s="184">
        <v>102002</v>
      </c>
      <c r="H631" s="184" t="s">
        <v>112</v>
      </c>
      <c r="I631" s="184" t="s">
        <v>294</v>
      </c>
      <c r="J631" s="184" t="s">
        <v>347</v>
      </c>
      <c r="K631" s="184" t="s">
        <v>295</v>
      </c>
      <c r="L631" s="185">
        <v>1</v>
      </c>
      <c r="M631" s="186">
        <v>3545.33</v>
      </c>
      <c r="N631" s="186">
        <v>0</v>
      </c>
      <c r="O631" s="125">
        <f t="shared" si="50"/>
        <v>3545.33</v>
      </c>
      <c r="P631" s="125"/>
      <c r="Q631" s="73">
        <f t="shared" si="54"/>
        <v>404.522153</v>
      </c>
    </row>
    <row r="632" spans="1:17" ht="14.5" x14ac:dyDescent="0.35">
      <c r="A632" s="184" t="s">
        <v>155</v>
      </c>
      <c r="B632" s="184" t="s">
        <v>412</v>
      </c>
      <c r="C632" s="184" t="s">
        <v>176</v>
      </c>
      <c r="D632" s="185" t="s">
        <v>287</v>
      </c>
      <c r="E632" s="185">
        <v>16258</v>
      </c>
      <c r="F632" s="185" t="s">
        <v>149</v>
      </c>
      <c r="G632" s="184">
        <v>102003</v>
      </c>
      <c r="H632" s="184" t="s">
        <v>110</v>
      </c>
      <c r="I632" s="184" t="s">
        <v>294</v>
      </c>
      <c r="J632" s="184" t="s">
        <v>295</v>
      </c>
      <c r="K632" s="184" t="s">
        <v>295</v>
      </c>
      <c r="L632" s="185">
        <v>1</v>
      </c>
      <c r="M632" s="186">
        <v>914700.72</v>
      </c>
      <c r="N632" s="186">
        <v>186000</v>
      </c>
      <c r="O632" s="125">
        <f t="shared" si="50"/>
        <v>728700.72</v>
      </c>
      <c r="P632" s="125"/>
      <c r="Q632" s="73">
        <f t="shared" si="54"/>
        <v>104367.35215200001</v>
      </c>
    </row>
    <row r="633" spans="1:17" ht="14.5" x14ac:dyDescent="0.35">
      <c r="A633" s="184" t="s">
        <v>155</v>
      </c>
      <c r="B633" s="184" t="s">
        <v>412</v>
      </c>
      <c r="C633" s="184" t="s">
        <v>176</v>
      </c>
      <c r="D633" s="185" t="s">
        <v>287</v>
      </c>
      <c r="E633" s="185">
        <v>16259</v>
      </c>
      <c r="F633" s="185" t="s">
        <v>149</v>
      </c>
      <c r="G633" s="184">
        <v>102003</v>
      </c>
      <c r="H633" s="184" t="s">
        <v>110</v>
      </c>
      <c r="I633" s="184" t="s">
        <v>294</v>
      </c>
      <c r="J633" s="184" t="s">
        <v>349</v>
      </c>
      <c r="K633" s="184" t="s">
        <v>295</v>
      </c>
      <c r="L633" s="185">
        <v>1</v>
      </c>
      <c r="M633" s="186">
        <v>90090.64</v>
      </c>
      <c r="N633" s="186">
        <v>0</v>
      </c>
      <c r="O633" s="125">
        <f t="shared" si="50"/>
        <v>90090.64</v>
      </c>
      <c r="P633" s="125"/>
      <c r="Q633" s="73">
        <f t="shared" si="54"/>
        <v>10279.342024</v>
      </c>
    </row>
    <row r="634" spans="1:17" ht="14.5" x14ac:dyDescent="0.35">
      <c r="A634" s="184" t="s">
        <v>155</v>
      </c>
      <c r="B634" s="184" t="s">
        <v>412</v>
      </c>
      <c r="C634" s="184" t="s">
        <v>176</v>
      </c>
      <c r="D634" s="185" t="s">
        <v>287</v>
      </c>
      <c r="E634" s="185">
        <v>16260</v>
      </c>
      <c r="F634" s="185" t="s">
        <v>149</v>
      </c>
      <c r="G634" s="184">
        <v>102005</v>
      </c>
      <c r="H634" s="184" t="s">
        <v>116</v>
      </c>
      <c r="I634" s="184" t="s">
        <v>294</v>
      </c>
      <c r="J634" s="184" t="s">
        <v>295</v>
      </c>
      <c r="K634" s="184" t="s">
        <v>295</v>
      </c>
      <c r="L634" s="185">
        <v>1</v>
      </c>
      <c r="M634" s="186">
        <v>103396.67</v>
      </c>
      <c r="N634" s="186">
        <v>5000</v>
      </c>
      <c r="O634" s="125">
        <f t="shared" si="50"/>
        <v>98396.67</v>
      </c>
      <c r="P634" s="125"/>
      <c r="Q634" s="73">
        <f t="shared" si="54"/>
        <v>11797.560047000001</v>
      </c>
    </row>
    <row r="635" spans="1:17" ht="14.5" x14ac:dyDescent="0.35">
      <c r="A635" s="184" t="s">
        <v>155</v>
      </c>
      <c r="B635" s="184" t="s">
        <v>412</v>
      </c>
      <c r="C635" s="184" t="s">
        <v>176</v>
      </c>
      <c r="D635" s="185" t="s">
        <v>287</v>
      </c>
      <c r="E635" s="185">
        <v>16261</v>
      </c>
      <c r="F635" s="185" t="s">
        <v>149</v>
      </c>
      <c r="G635" s="184">
        <v>102005</v>
      </c>
      <c r="H635" s="184" t="s">
        <v>116</v>
      </c>
      <c r="I635" s="184" t="s">
        <v>294</v>
      </c>
      <c r="J635" s="184" t="s">
        <v>349</v>
      </c>
      <c r="K635" s="184" t="s">
        <v>295</v>
      </c>
      <c r="L635" s="185">
        <v>1</v>
      </c>
      <c r="M635" s="186">
        <v>2568.23</v>
      </c>
      <c r="N635" s="186">
        <v>0</v>
      </c>
      <c r="O635" s="125">
        <f t="shared" si="50"/>
        <v>2568.23</v>
      </c>
      <c r="P635" s="125"/>
      <c r="Q635" s="73">
        <f t="shared" si="54"/>
        <v>293.03504300000003</v>
      </c>
    </row>
    <row r="636" spans="1:17" ht="14.5" x14ac:dyDescent="0.35">
      <c r="A636" s="184" t="s">
        <v>155</v>
      </c>
      <c r="B636" s="184" t="s">
        <v>412</v>
      </c>
      <c r="C636" s="184" t="s">
        <v>176</v>
      </c>
      <c r="D636" s="185" t="s">
        <v>287</v>
      </c>
      <c r="E636" s="185">
        <v>16262</v>
      </c>
      <c r="F636" s="185" t="s">
        <v>149</v>
      </c>
      <c r="G636" s="184">
        <v>102062</v>
      </c>
      <c r="H636" s="184" t="s">
        <v>117</v>
      </c>
      <c r="I636" s="184" t="s">
        <v>294</v>
      </c>
      <c r="J636" s="184" t="s">
        <v>295</v>
      </c>
      <c r="K636" s="184" t="s">
        <v>295</v>
      </c>
      <c r="L636" s="185">
        <v>1</v>
      </c>
      <c r="M636" s="186">
        <v>7689.92</v>
      </c>
      <c r="N636" s="186">
        <v>0</v>
      </c>
      <c r="O636" s="125">
        <f t="shared" si="50"/>
        <v>7689.92</v>
      </c>
      <c r="P636" s="125"/>
      <c r="Q636" s="73">
        <f t="shared" si="54"/>
        <v>877.41987200000005</v>
      </c>
    </row>
    <row r="637" spans="1:17" ht="14.5" x14ac:dyDescent="0.35">
      <c r="A637" s="184" t="s">
        <v>155</v>
      </c>
      <c r="B637" s="184" t="s">
        <v>412</v>
      </c>
      <c r="C637" s="184" t="s">
        <v>176</v>
      </c>
      <c r="D637" s="185" t="s">
        <v>287</v>
      </c>
      <c r="E637" s="185">
        <v>16263</v>
      </c>
      <c r="F637" s="185" t="s">
        <v>149</v>
      </c>
      <c r="G637" s="184">
        <v>103001</v>
      </c>
      <c r="H637" s="184" t="s">
        <v>113</v>
      </c>
      <c r="I637" s="184" t="s">
        <v>294</v>
      </c>
      <c r="J637" s="184" t="s">
        <v>295</v>
      </c>
      <c r="K637" s="184" t="s">
        <v>295</v>
      </c>
      <c r="L637" s="185">
        <v>1</v>
      </c>
      <c r="M637" s="186">
        <v>16587.96</v>
      </c>
      <c r="N637" s="186">
        <v>15000</v>
      </c>
      <c r="O637" s="125">
        <f t="shared" si="50"/>
        <v>1587.9599999999991</v>
      </c>
      <c r="P637" s="125"/>
      <c r="Q637" s="73">
        <f t="shared" si="54"/>
        <v>1892.686236</v>
      </c>
    </row>
    <row r="638" spans="1:17" ht="14.5" x14ac:dyDescent="0.35">
      <c r="A638" s="184" t="s">
        <v>155</v>
      </c>
      <c r="B638" s="184" t="s">
        <v>412</v>
      </c>
      <c r="C638" s="184" t="s">
        <v>176</v>
      </c>
      <c r="D638" s="185" t="s">
        <v>287</v>
      </c>
      <c r="E638" s="185">
        <v>16264</v>
      </c>
      <c r="F638" s="185" t="s">
        <v>149</v>
      </c>
      <c r="G638" s="184">
        <v>103001</v>
      </c>
      <c r="H638" s="184" t="s">
        <v>113</v>
      </c>
      <c r="I638" s="184" t="s">
        <v>294</v>
      </c>
      <c r="J638" s="184" t="s">
        <v>386</v>
      </c>
      <c r="K638" s="184" t="s">
        <v>295</v>
      </c>
      <c r="L638" s="185">
        <v>1</v>
      </c>
      <c r="M638" s="186">
        <v>9387.31</v>
      </c>
      <c r="N638" s="186">
        <v>0</v>
      </c>
      <c r="O638" s="125">
        <f t="shared" si="50"/>
        <v>9387.31</v>
      </c>
      <c r="P638" s="125"/>
      <c r="Q638" s="73">
        <f t="shared" si="54"/>
        <v>1071.092071</v>
      </c>
    </row>
    <row r="639" spans="1:17" ht="14.5" x14ac:dyDescent="0.35">
      <c r="A639" s="184" t="s">
        <v>155</v>
      </c>
      <c r="B639" s="184" t="s">
        <v>412</v>
      </c>
      <c r="C639" s="184" t="s">
        <v>176</v>
      </c>
      <c r="D639" s="185" t="s">
        <v>287</v>
      </c>
      <c r="E639" s="185">
        <v>16265</v>
      </c>
      <c r="F639" s="185" t="s">
        <v>149</v>
      </c>
      <c r="G639" s="184">
        <v>103069</v>
      </c>
      <c r="H639" s="184" t="s">
        <v>225</v>
      </c>
      <c r="I639" s="184" t="s">
        <v>294</v>
      </c>
      <c r="J639" s="184" t="s">
        <v>295</v>
      </c>
      <c r="K639" s="184" t="s">
        <v>295</v>
      </c>
      <c r="L639" s="185">
        <v>1</v>
      </c>
      <c r="M639" s="186">
        <v>14854.82</v>
      </c>
      <c r="N639" s="186">
        <v>0</v>
      </c>
      <c r="O639" s="125">
        <f t="shared" si="50"/>
        <v>14854.82</v>
      </c>
      <c r="P639" s="125"/>
      <c r="Q639" s="73">
        <f t="shared" si="54"/>
        <v>1694.934962</v>
      </c>
    </row>
    <row r="640" spans="1:17" ht="14.5" x14ac:dyDescent="0.35">
      <c r="A640" s="184" t="s">
        <v>155</v>
      </c>
      <c r="B640" s="184" t="s">
        <v>412</v>
      </c>
      <c r="C640" s="184" t="s">
        <v>176</v>
      </c>
      <c r="D640" s="185" t="s">
        <v>287</v>
      </c>
      <c r="E640" s="185">
        <v>16266</v>
      </c>
      <c r="F640" s="185" t="s">
        <v>149</v>
      </c>
      <c r="G640" s="184">
        <v>104000</v>
      </c>
      <c r="H640" s="184" t="s">
        <v>114</v>
      </c>
      <c r="I640" s="184" t="s">
        <v>294</v>
      </c>
      <c r="J640" s="184" t="s">
        <v>295</v>
      </c>
      <c r="K640" s="184" t="s">
        <v>295</v>
      </c>
      <c r="L640" s="185">
        <v>1</v>
      </c>
      <c r="M640" s="186">
        <v>36111.58</v>
      </c>
      <c r="N640" s="186">
        <v>70000</v>
      </c>
      <c r="O640" s="125">
        <f t="shared" si="50"/>
        <v>-33888.42</v>
      </c>
      <c r="P640" s="125"/>
      <c r="Q640" s="73">
        <f t="shared" si="54"/>
        <v>4120.3312780000006</v>
      </c>
    </row>
    <row r="641" spans="1:17" ht="14.5" x14ac:dyDescent="0.35">
      <c r="A641" s="184" t="s">
        <v>155</v>
      </c>
      <c r="B641" s="184" t="s">
        <v>412</v>
      </c>
      <c r="C641" s="184" t="s">
        <v>176</v>
      </c>
      <c r="D641" s="185" t="s">
        <v>287</v>
      </c>
      <c r="E641" s="185">
        <v>16267</v>
      </c>
      <c r="F641" s="185" t="s">
        <v>149</v>
      </c>
      <c r="G641" s="184">
        <v>104000</v>
      </c>
      <c r="H641" s="184" t="s">
        <v>114</v>
      </c>
      <c r="I641" s="184" t="s">
        <v>294</v>
      </c>
      <c r="J641" s="184" t="s">
        <v>349</v>
      </c>
      <c r="K641" s="184" t="s">
        <v>295</v>
      </c>
      <c r="L641" s="185">
        <v>1</v>
      </c>
      <c r="M641" s="186">
        <v>64478.36</v>
      </c>
      <c r="N641" s="186">
        <v>67000</v>
      </c>
      <c r="O641" s="125">
        <f t="shared" si="50"/>
        <v>-2521.6399999999994</v>
      </c>
      <c r="P641" s="125"/>
      <c r="Q641" s="73">
        <f t="shared" si="54"/>
        <v>7356.9808760000005</v>
      </c>
    </row>
    <row r="642" spans="1:17" ht="14.5" x14ac:dyDescent="0.35">
      <c r="A642" s="184" t="s">
        <v>155</v>
      </c>
      <c r="B642" s="184" t="s">
        <v>412</v>
      </c>
      <c r="C642" s="184" t="s">
        <v>176</v>
      </c>
      <c r="D642" s="185" t="s">
        <v>287</v>
      </c>
      <c r="E642" s="185">
        <v>16268</v>
      </c>
      <c r="F642" s="185" t="s">
        <v>149</v>
      </c>
      <c r="G642" s="184">
        <v>105003</v>
      </c>
      <c r="H642" s="184" t="s">
        <v>317</v>
      </c>
      <c r="I642" s="184" t="s">
        <v>294</v>
      </c>
      <c r="J642" s="184" t="s">
        <v>295</v>
      </c>
      <c r="K642" s="184" t="s">
        <v>295</v>
      </c>
      <c r="L642" s="185">
        <v>1</v>
      </c>
      <c r="M642" s="186">
        <v>90766.65</v>
      </c>
      <c r="N642" s="186">
        <v>0</v>
      </c>
      <c r="O642" s="125">
        <f t="shared" si="50"/>
        <v>90766.65</v>
      </c>
      <c r="P642" s="125"/>
      <c r="Q642" s="73">
        <f t="shared" si="54"/>
        <v>10356.474764999999</v>
      </c>
    </row>
    <row r="643" spans="1:17" ht="14.5" x14ac:dyDescent="0.35">
      <c r="A643" s="184" t="s">
        <v>155</v>
      </c>
      <c r="B643" s="184" t="s">
        <v>412</v>
      </c>
      <c r="C643" s="184" t="s">
        <v>176</v>
      </c>
      <c r="D643" s="185" t="s">
        <v>287</v>
      </c>
      <c r="E643" s="185">
        <v>16269</v>
      </c>
      <c r="F643" s="185" t="s">
        <v>149</v>
      </c>
      <c r="G643" s="184">
        <v>105010</v>
      </c>
      <c r="H643" s="184" t="s">
        <v>124</v>
      </c>
      <c r="I643" s="184" t="s">
        <v>294</v>
      </c>
      <c r="J643" s="184" t="s">
        <v>295</v>
      </c>
      <c r="K643" s="184" t="s">
        <v>295</v>
      </c>
      <c r="L643" s="185">
        <v>1</v>
      </c>
      <c r="M643" s="186">
        <v>5132.25</v>
      </c>
      <c r="N643" s="186">
        <v>0</v>
      </c>
      <c r="O643" s="125">
        <f t="shared" si="50"/>
        <v>5132.25</v>
      </c>
      <c r="P643" s="125"/>
      <c r="Q643" s="73">
        <f t="shared" si="54"/>
        <v>585.58972500000004</v>
      </c>
    </row>
    <row r="644" spans="1:17" ht="14.5" x14ac:dyDescent="0.35">
      <c r="A644" s="184" t="s">
        <v>155</v>
      </c>
      <c r="B644" s="184" t="s">
        <v>412</v>
      </c>
      <c r="C644" s="184" t="s">
        <v>176</v>
      </c>
      <c r="D644" s="185" t="s">
        <v>287</v>
      </c>
      <c r="E644" s="185">
        <v>16270</v>
      </c>
      <c r="F644" s="185" t="s">
        <v>149</v>
      </c>
      <c r="G644" s="184">
        <v>105010</v>
      </c>
      <c r="H644" s="184" t="s">
        <v>124</v>
      </c>
      <c r="I644" s="184" t="s">
        <v>294</v>
      </c>
      <c r="J644" s="184" t="s">
        <v>349</v>
      </c>
      <c r="K644" s="184" t="s">
        <v>295</v>
      </c>
      <c r="L644" s="185">
        <v>1</v>
      </c>
      <c r="M644" s="186">
        <v>2219.06</v>
      </c>
      <c r="N644" s="186">
        <v>0</v>
      </c>
      <c r="O644" s="125">
        <f t="shared" si="50"/>
        <v>2219.06</v>
      </c>
      <c r="P644" s="125"/>
      <c r="Q644" s="73">
        <f t="shared" si="54"/>
        <v>253.19474600000001</v>
      </c>
    </row>
    <row r="645" spans="1:17" ht="14.5" x14ac:dyDescent="0.35">
      <c r="A645" s="184" t="s">
        <v>155</v>
      </c>
      <c r="B645" s="184" t="s">
        <v>412</v>
      </c>
      <c r="C645" s="184" t="s">
        <v>176</v>
      </c>
      <c r="D645" s="185" t="s">
        <v>287</v>
      </c>
      <c r="E645" s="185">
        <v>16271</v>
      </c>
      <c r="F645" s="185" t="s">
        <v>149</v>
      </c>
      <c r="G645" s="184">
        <v>105019</v>
      </c>
      <c r="H645" s="184" t="s">
        <v>115</v>
      </c>
      <c r="I645" s="184" t="s">
        <v>294</v>
      </c>
      <c r="J645" s="184" t="s">
        <v>295</v>
      </c>
      <c r="K645" s="184" t="s">
        <v>295</v>
      </c>
      <c r="L645" s="185">
        <v>1</v>
      </c>
      <c r="M645" s="186">
        <v>996.46</v>
      </c>
      <c r="N645" s="186">
        <v>0</v>
      </c>
      <c r="O645" s="125">
        <f t="shared" si="50"/>
        <v>996.46</v>
      </c>
      <c r="P645" s="125"/>
      <c r="Q645" s="73">
        <f t="shared" si="54"/>
        <v>113.69608600000002</v>
      </c>
    </row>
    <row r="646" spans="1:17" ht="14.5" x14ac:dyDescent="0.35">
      <c r="A646" s="184" t="s">
        <v>155</v>
      </c>
      <c r="B646" s="184" t="s">
        <v>412</v>
      </c>
      <c r="C646" s="184" t="s">
        <v>176</v>
      </c>
      <c r="D646" s="185" t="s">
        <v>287</v>
      </c>
      <c r="E646" s="185">
        <v>16272</v>
      </c>
      <c r="F646" s="185" t="s">
        <v>149</v>
      </c>
      <c r="G646" s="184">
        <v>105098</v>
      </c>
      <c r="H646" s="184" t="s">
        <v>314</v>
      </c>
      <c r="I646" s="184" t="s">
        <v>294</v>
      </c>
      <c r="J646" s="184" t="s">
        <v>391</v>
      </c>
      <c r="K646" s="184" t="s">
        <v>295</v>
      </c>
      <c r="L646" s="185">
        <v>1</v>
      </c>
      <c r="M646" s="186">
        <v>-4392</v>
      </c>
      <c r="N646" s="186">
        <v>0</v>
      </c>
      <c r="O646" s="125">
        <f t="shared" si="50"/>
        <v>-4392</v>
      </c>
      <c r="P646" s="125"/>
      <c r="Q646" s="73">
        <f t="shared" si="54"/>
        <v>-501.12720000000007</v>
      </c>
    </row>
    <row r="647" spans="1:17" ht="14.5" x14ac:dyDescent="0.35">
      <c r="A647" s="184" t="s">
        <v>155</v>
      </c>
      <c r="B647" s="184" t="s">
        <v>412</v>
      </c>
      <c r="C647" s="184" t="s">
        <v>176</v>
      </c>
      <c r="D647" s="185" t="s">
        <v>287</v>
      </c>
      <c r="E647" s="185">
        <v>16273</v>
      </c>
      <c r="F647" s="185" t="s">
        <v>149</v>
      </c>
      <c r="G647" s="184">
        <v>105099</v>
      </c>
      <c r="H647" s="184" t="s">
        <v>107</v>
      </c>
      <c r="I647" s="184" t="s">
        <v>294</v>
      </c>
      <c r="J647" s="184" t="s">
        <v>392</v>
      </c>
      <c r="K647" s="184" t="s">
        <v>295</v>
      </c>
      <c r="L647" s="185">
        <v>1</v>
      </c>
      <c r="M647" s="186">
        <v>4392</v>
      </c>
      <c r="N647" s="186">
        <v>0</v>
      </c>
      <c r="O647" s="125">
        <f t="shared" si="50"/>
        <v>4392</v>
      </c>
      <c r="P647" s="125"/>
      <c r="Q647" s="73">
        <f t="shared" si="54"/>
        <v>501.12720000000007</v>
      </c>
    </row>
    <row r="648" spans="1:17" ht="14.5" x14ac:dyDescent="0.35">
      <c r="A648" s="184" t="s">
        <v>155</v>
      </c>
      <c r="B648" s="184" t="s">
        <v>412</v>
      </c>
      <c r="C648" s="184" t="s">
        <v>176</v>
      </c>
      <c r="D648" s="185" t="s">
        <v>287</v>
      </c>
      <c r="E648" s="185">
        <v>16274</v>
      </c>
      <c r="F648" s="185" t="s">
        <v>149</v>
      </c>
      <c r="G648" s="189">
        <v>109001</v>
      </c>
      <c r="H648" s="184" t="s">
        <v>105</v>
      </c>
      <c r="I648" s="184" t="s">
        <v>294</v>
      </c>
      <c r="J648" s="184" t="s">
        <v>295</v>
      </c>
      <c r="K648" s="184" t="s">
        <v>295</v>
      </c>
      <c r="L648" s="185">
        <v>1</v>
      </c>
      <c r="M648" s="186">
        <v>939500.9</v>
      </c>
      <c r="N648" s="186">
        <v>868000</v>
      </c>
      <c r="O648" s="125">
        <f t="shared" ref="O648:O711" si="55">M648-N648</f>
        <v>71500.900000000023</v>
      </c>
      <c r="P648" s="164">
        <f t="shared" ref="P648:P651" si="56">M648*-1</f>
        <v>-939500.9</v>
      </c>
    </row>
    <row r="649" spans="1:17" ht="14.5" x14ac:dyDescent="0.35">
      <c r="A649" s="184" t="s">
        <v>155</v>
      </c>
      <c r="B649" s="184" t="s">
        <v>412</v>
      </c>
      <c r="C649" s="184" t="s">
        <v>176</v>
      </c>
      <c r="D649" s="185" t="s">
        <v>287</v>
      </c>
      <c r="E649" s="185">
        <v>16275</v>
      </c>
      <c r="F649" s="185" t="s">
        <v>149</v>
      </c>
      <c r="G649" s="189">
        <v>109001</v>
      </c>
      <c r="H649" s="184" t="s">
        <v>105</v>
      </c>
      <c r="I649" s="184" t="s">
        <v>294</v>
      </c>
      <c r="J649" s="184" t="s">
        <v>349</v>
      </c>
      <c r="K649" s="184" t="s">
        <v>295</v>
      </c>
      <c r="L649" s="185">
        <v>1</v>
      </c>
      <c r="M649" s="186">
        <v>9530.67</v>
      </c>
      <c r="N649" s="186">
        <v>10000</v>
      </c>
      <c r="O649" s="125">
        <f t="shared" si="55"/>
        <v>-469.32999999999993</v>
      </c>
      <c r="P649" s="164">
        <f t="shared" si="56"/>
        <v>-9530.67</v>
      </c>
    </row>
    <row r="650" spans="1:17" ht="14.5" x14ac:dyDescent="0.35">
      <c r="A650" s="184" t="s">
        <v>155</v>
      </c>
      <c r="B650" s="184" t="s">
        <v>412</v>
      </c>
      <c r="C650" s="184" t="s">
        <v>176</v>
      </c>
      <c r="D650" s="185" t="s">
        <v>287</v>
      </c>
      <c r="E650" s="185">
        <v>16276</v>
      </c>
      <c r="F650" s="185" t="s">
        <v>149</v>
      </c>
      <c r="G650" s="189">
        <v>109001</v>
      </c>
      <c r="H650" s="184" t="s">
        <v>105</v>
      </c>
      <c r="I650" s="184" t="s">
        <v>294</v>
      </c>
      <c r="J650" s="184" t="s">
        <v>386</v>
      </c>
      <c r="K650" s="184" t="s">
        <v>295</v>
      </c>
      <c r="L650" s="185">
        <v>1</v>
      </c>
      <c r="M650" s="186">
        <v>945.16</v>
      </c>
      <c r="N650" s="186">
        <v>0</v>
      </c>
      <c r="O650" s="125">
        <f t="shared" si="55"/>
        <v>945.16</v>
      </c>
      <c r="P650" s="164">
        <f t="shared" si="56"/>
        <v>-945.16</v>
      </c>
    </row>
    <row r="651" spans="1:17" ht="14.5" x14ac:dyDescent="0.35">
      <c r="A651" s="184" t="s">
        <v>155</v>
      </c>
      <c r="B651" s="184" t="s">
        <v>412</v>
      </c>
      <c r="C651" s="184" t="s">
        <v>176</v>
      </c>
      <c r="D651" s="185" t="s">
        <v>287</v>
      </c>
      <c r="E651" s="185">
        <v>16277</v>
      </c>
      <c r="F651" s="185" t="s">
        <v>149</v>
      </c>
      <c r="G651" s="189">
        <v>109001</v>
      </c>
      <c r="H651" s="184" t="s">
        <v>105</v>
      </c>
      <c r="I651" s="184" t="s">
        <v>294</v>
      </c>
      <c r="J651" s="184" t="s">
        <v>347</v>
      </c>
      <c r="K651" s="184" t="s">
        <v>295</v>
      </c>
      <c r="L651" s="185">
        <v>1</v>
      </c>
      <c r="M651" s="186">
        <v>1267.23</v>
      </c>
      <c r="N651" s="186">
        <v>0</v>
      </c>
      <c r="O651" s="125">
        <f t="shared" si="55"/>
        <v>1267.23</v>
      </c>
      <c r="P651" s="164">
        <f t="shared" si="56"/>
        <v>-1267.23</v>
      </c>
    </row>
    <row r="652" spans="1:17" ht="14.5" x14ac:dyDescent="0.35">
      <c r="A652" s="184" t="s">
        <v>155</v>
      </c>
      <c r="B652" s="184" t="s">
        <v>412</v>
      </c>
      <c r="C652" s="184" t="s">
        <v>176</v>
      </c>
      <c r="D652" s="185" t="s">
        <v>287</v>
      </c>
      <c r="E652" s="185">
        <v>16278</v>
      </c>
      <c r="F652" s="185" t="s">
        <v>149</v>
      </c>
      <c r="G652" s="189">
        <v>109901</v>
      </c>
      <c r="H652" s="184" t="s">
        <v>106</v>
      </c>
      <c r="I652" s="184" t="s">
        <v>294</v>
      </c>
      <c r="J652" s="184" t="s">
        <v>295</v>
      </c>
      <c r="K652" s="184" t="s">
        <v>295</v>
      </c>
      <c r="L652" s="185">
        <v>1</v>
      </c>
      <c r="M652" s="186">
        <v>1356597.69</v>
      </c>
      <c r="N652" s="186">
        <v>1345000</v>
      </c>
      <c r="O652" s="125">
        <f t="shared" si="55"/>
        <v>11597.689999999944</v>
      </c>
      <c r="P652" s="164"/>
    </row>
    <row r="653" spans="1:17" ht="14.5" x14ac:dyDescent="0.35">
      <c r="A653" s="184" t="s">
        <v>155</v>
      </c>
      <c r="B653" s="184" t="s">
        <v>412</v>
      </c>
      <c r="C653" s="184" t="s">
        <v>176</v>
      </c>
      <c r="D653" s="185" t="s">
        <v>287</v>
      </c>
      <c r="E653" s="185">
        <v>16279</v>
      </c>
      <c r="F653" s="185" t="s">
        <v>149</v>
      </c>
      <c r="G653" s="189">
        <v>109901</v>
      </c>
      <c r="H653" s="184" t="s">
        <v>106</v>
      </c>
      <c r="I653" s="184" t="s">
        <v>294</v>
      </c>
      <c r="J653" s="184" t="s">
        <v>349</v>
      </c>
      <c r="K653" s="184" t="s">
        <v>295</v>
      </c>
      <c r="L653" s="185">
        <v>1</v>
      </c>
      <c r="M653" s="186">
        <v>24201.06</v>
      </c>
      <c r="N653" s="186">
        <v>24000</v>
      </c>
      <c r="O653" s="125">
        <f t="shared" si="55"/>
        <v>201.06000000000131</v>
      </c>
      <c r="P653" s="125"/>
    </row>
    <row r="654" spans="1:17" ht="14.5" x14ac:dyDescent="0.35">
      <c r="A654" s="184" t="s">
        <v>155</v>
      </c>
      <c r="B654" s="184" t="s">
        <v>412</v>
      </c>
      <c r="C654" s="184" t="s">
        <v>176</v>
      </c>
      <c r="D654" s="185" t="s">
        <v>287</v>
      </c>
      <c r="E654" s="185">
        <v>16280</v>
      </c>
      <c r="F654" s="185" t="s">
        <v>149</v>
      </c>
      <c r="G654" s="189">
        <v>109901</v>
      </c>
      <c r="H654" s="184" t="s">
        <v>106</v>
      </c>
      <c r="I654" s="184" t="s">
        <v>294</v>
      </c>
      <c r="J654" s="184" t="s">
        <v>392</v>
      </c>
      <c r="K654" s="184" t="s">
        <v>295</v>
      </c>
      <c r="L654" s="185">
        <v>1</v>
      </c>
      <c r="M654" s="186">
        <v>619.32000000000005</v>
      </c>
      <c r="N654" s="186">
        <v>0</v>
      </c>
      <c r="O654" s="125">
        <f t="shared" si="55"/>
        <v>619.32000000000005</v>
      </c>
      <c r="P654" s="125"/>
    </row>
    <row r="655" spans="1:17" ht="14.5" x14ac:dyDescent="0.35">
      <c r="A655" s="184" t="s">
        <v>155</v>
      </c>
      <c r="B655" s="184" t="s">
        <v>412</v>
      </c>
      <c r="C655" s="184" t="s">
        <v>176</v>
      </c>
      <c r="D655" s="185" t="s">
        <v>287</v>
      </c>
      <c r="E655" s="185">
        <v>16281</v>
      </c>
      <c r="F655" s="185" t="s">
        <v>149</v>
      </c>
      <c r="G655" s="189">
        <v>109901</v>
      </c>
      <c r="H655" s="184" t="s">
        <v>106</v>
      </c>
      <c r="I655" s="184" t="s">
        <v>294</v>
      </c>
      <c r="J655" s="184" t="s">
        <v>386</v>
      </c>
      <c r="K655" s="184" t="s">
        <v>295</v>
      </c>
      <c r="L655" s="185">
        <v>1</v>
      </c>
      <c r="M655" s="186">
        <v>1456.9</v>
      </c>
      <c r="N655" s="186">
        <v>0</v>
      </c>
      <c r="O655" s="125">
        <f t="shared" si="55"/>
        <v>1456.9</v>
      </c>
      <c r="P655" s="164"/>
    </row>
    <row r="656" spans="1:17" ht="14.5" x14ac:dyDescent="0.35">
      <c r="A656" s="184" t="s">
        <v>155</v>
      </c>
      <c r="B656" s="184" t="s">
        <v>412</v>
      </c>
      <c r="C656" s="184" t="s">
        <v>176</v>
      </c>
      <c r="D656" s="185" t="s">
        <v>287</v>
      </c>
      <c r="E656" s="185">
        <v>16282</v>
      </c>
      <c r="F656" s="185" t="s">
        <v>149</v>
      </c>
      <c r="G656" s="189">
        <v>109901</v>
      </c>
      <c r="H656" s="184" t="s">
        <v>106</v>
      </c>
      <c r="I656" s="184" t="s">
        <v>294</v>
      </c>
      <c r="J656" s="184" t="s">
        <v>347</v>
      </c>
      <c r="K656" s="184" t="s">
        <v>295</v>
      </c>
      <c r="L656" s="185">
        <v>1</v>
      </c>
      <c r="M656" s="186">
        <v>2138.1799999999998</v>
      </c>
      <c r="N656" s="186">
        <v>0</v>
      </c>
      <c r="O656" s="125">
        <f t="shared" si="55"/>
        <v>2138.1799999999998</v>
      </c>
      <c r="P656" s="164"/>
    </row>
    <row r="657" spans="1:17" ht="14.5" x14ac:dyDescent="0.35">
      <c r="A657" s="184" t="s">
        <v>155</v>
      </c>
      <c r="B657" s="184" t="s">
        <v>413</v>
      </c>
      <c r="C657" s="184" t="s">
        <v>70</v>
      </c>
      <c r="D657" s="185" t="s">
        <v>287</v>
      </c>
      <c r="E657" s="185">
        <v>16386</v>
      </c>
      <c r="F657" s="185" t="s">
        <v>149</v>
      </c>
      <c r="G657" s="184">
        <v>101001</v>
      </c>
      <c r="H657" s="184" t="s">
        <v>108</v>
      </c>
      <c r="I657" s="184" t="s">
        <v>294</v>
      </c>
      <c r="J657" s="184" t="s">
        <v>295</v>
      </c>
      <c r="K657" s="184" t="s">
        <v>295</v>
      </c>
      <c r="L657" s="185">
        <v>1</v>
      </c>
      <c r="M657" s="186">
        <v>8880274.3000000007</v>
      </c>
      <c r="N657" s="186">
        <v>9352000</v>
      </c>
      <c r="O657" s="125">
        <f t="shared" si="55"/>
        <v>-471725.69999999925</v>
      </c>
      <c r="P657" s="125"/>
      <c r="Q657" s="73">
        <f t="shared" ref="Q657:Q685" si="57">M657*$Q$7*1.141</f>
        <v>1013239.2976300002</v>
      </c>
    </row>
    <row r="658" spans="1:17" ht="14.5" x14ac:dyDescent="0.35">
      <c r="A658" s="184" t="s">
        <v>155</v>
      </c>
      <c r="B658" s="184" t="s">
        <v>413</v>
      </c>
      <c r="C658" s="184" t="s">
        <v>70</v>
      </c>
      <c r="D658" s="185" t="s">
        <v>287</v>
      </c>
      <c r="E658" s="185">
        <v>16387</v>
      </c>
      <c r="F658" s="185" t="s">
        <v>149</v>
      </c>
      <c r="G658" s="184">
        <v>101001</v>
      </c>
      <c r="H658" s="184" t="s">
        <v>108</v>
      </c>
      <c r="I658" s="184" t="s">
        <v>294</v>
      </c>
      <c r="J658" s="184" t="s">
        <v>350</v>
      </c>
      <c r="K658" s="184" t="s">
        <v>295</v>
      </c>
      <c r="L658" s="185">
        <v>1</v>
      </c>
      <c r="M658" s="186">
        <v>0</v>
      </c>
      <c r="N658" s="186">
        <v>0</v>
      </c>
      <c r="O658" s="125">
        <f t="shared" si="55"/>
        <v>0</v>
      </c>
      <c r="P658" s="125"/>
      <c r="Q658" s="73">
        <f t="shared" si="57"/>
        <v>0</v>
      </c>
    </row>
    <row r="659" spans="1:17" ht="14.5" x14ac:dyDescent="0.35">
      <c r="A659" s="184" t="s">
        <v>155</v>
      </c>
      <c r="B659" s="184" t="s">
        <v>413</v>
      </c>
      <c r="C659" s="184" t="s">
        <v>70</v>
      </c>
      <c r="D659" s="185" t="s">
        <v>287</v>
      </c>
      <c r="E659" s="185">
        <v>16388</v>
      </c>
      <c r="F659" s="185" t="s">
        <v>149</v>
      </c>
      <c r="G659" s="184">
        <v>101001</v>
      </c>
      <c r="H659" s="184" t="s">
        <v>108</v>
      </c>
      <c r="I659" s="184" t="s">
        <v>294</v>
      </c>
      <c r="J659" s="184" t="s">
        <v>386</v>
      </c>
      <c r="K659" s="184" t="s">
        <v>295</v>
      </c>
      <c r="L659" s="185">
        <v>1</v>
      </c>
      <c r="M659" s="186">
        <v>32000</v>
      </c>
      <c r="N659" s="186">
        <v>0</v>
      </c>
      <c r="O659" s="125">
        <f t="shared" si="55"/>
        <v>32000</v>
      </c>
      <c r="P659" s="125"/>
      <c r="Q659" s="73">
        <f t="shared" si="57"/>
        <v>3651.2</v>
      </c>
    </row>
    <row r="660" spans="1:17" ht="14.5" x14ac:dyDescent="0.35">
      <c r="A660" s="184" t="s">
        <v>155</v>
      </c>
      <c r="B660" s="184" t="s">
        <v>413</v>
      </c>
      <c r="C660" s="184" t="s">
        <v>70</v>
      </c>
      <c r="D660" s="185" t="s">
        <v>287</v>
      </c>
      <c r="E660" s="185">
        <v>16389</v>
      </c>
      <c r="F660" s="185" t="s">
        <v>149</v>
      </c>
      <c r="G660" s="184">
        <v>101002</v>
      </c>
      <c r="H660" s="184" t="s">
        <v>109</v>
      </c>
      <c r="I660" s="184" t="s">
        <v>294</v>
      </c>
      <c r="J660" s="184" t="s">
        <v>295</v>
      </c>
      <c r="K660" s="184" t="s">
        <v>295</v>
      </c>
      <c r="L660" s="185">
        <v>1</v>
      </c>
      <c r="M660" s="186">
        <v>-3133.71</v>
      </c>
      <c r="N660" s="186">
        <v>0</v>
      </c>
      <c r="O660" s="125">
        <f t="shared" si="55"/>
        <v>-3133.71</v>
      </c>
      <c r="P660" s="125"/>
      <c r="Q660" s="73">
        <f t="shared" si="57"/>
        <v>-357.55631100000005</v>
      </c>
    </row>
    <row r="661" spans="1:17" ht="14.5" x14ac:dyDescent="0.35">
      <c r="A661" s="184" t="s">
        <v>155</v>
      </c>
      <c r="B661" s="184" t="s">
        <v>413</v>
      </c>
      <c r="C661" s="184" t="s">
        <v>70</v>
      </c>
      <c r="D661" s="185" t="s">
        <v>287</v>
      </c>
      <c r="E661" s="185">
        <v>16390</v>
      </c>
      <c r="F661" s="185" t="s">
        <v>149</v>
      </c>
      <c r="G661" s="184">
        <v>101002</v>
      </c>
      <c r="H661" s="184" t="s">
        <v>109</v>
      </c>
      <c r="I661" s="184" t="s">
        <v>294</v>
      </c>
      <c r="J661" s="184" t="s">
        <v>349</v>
      </c>
      <c r="K661" s="184" t="s">
        <v>295</v>
      </c>
      <c r="L661" s="185">
        <v>1</v>
      </c>
      <c r="M661" s="186">
        <v>0</v>
      </c>
      <c r="N661" s="186">
        <v>466000</v>
      </c>
      <c r="O661" s="125">
        <f t="shared" si="55"/>
        <v>-466000</v>
      </c>
      <c r="P661" s="125"/>
      <c r="Q661" s="73">
        <f t="shared" si="57"/>
        <v>0</v>
      </c>
    </row>
    <row r="662" spans="1:17" ht="14.5" x14ac:dyDescent="0.35">
      <c r="A662" s="184" t="s">
        <v>155</v>
      </c>
      <c r="B662" s="184" t="s">
        <v>413</v>
      </c>
      <c r="C662" s="184" t="s">
        <v>70</v>
      </c>
      <c r="D662" s="185" t="s">
        <v>287</v>
      </c>
      <c r="E662" s="185">
        <v>16391</v>
      </c>
      <c r="F662" s="185" t="s">
        <v>149</v>
      </c>
      <c r="G662" s="184">
        <v>101039</v>
      </c>
      <c r="H662" s="184" t="s">
        <v>111</v>
      </c>
      <c r="I662" s="184" t="s">
        <v>294</v>
      </c>
      <c r="J662" s="184" t="s">
        <v>295</v>
      </c>
      <c r="K662" s="184" t="s">
        <v>295</v>
      </c>
      <c r="L662" s="185">
        <v>1</v>
      </c>
      <c r="M662" s="186">
        <v>343884.72</v>
      </c>
      <c r="N662" s="186">
        <v>7000</v>
      </c>
      <c r="O662" s="125">
        <f t="shared" si="55"/>
        <v>336884.72</v>
      </c>
      <c r="P662" s="125"/>
      <c r="Q662" s="73">
        <f t="shared" si="57"/>
        <v>39237.246552000004</v>
      </c>
    </row>
    <row r="663" spans="1:17" ht="14.5" x14ac:dyDescent="0.35">
      <c r="A663" s="184" t="s">
        <v>155</v>
      </c>
      <c r="B663" s="184" t="s">
        <v>413</v>
      </c>
      <c r="C663" s="184" t="s">
        <v>70</v>
      </c>
      <c r="D663" s="185" t="s">
        <v>287</v>
      </c>
      <c r="E663" s="185">
        <v>16392</v>
      </c>
      <c r="F663" s="185" t="s">
        <v>149</v>
      </c>
      <c r="G663" s="184">
        <v>101039</v>
      </c>
      <c r="H663" s="184" t="s">
        <v>111</v>
      </c>
      <c r="I663" s="184" t="s">
        <v>294</v>
      </c>
      <c r="J663" s="184" t="s">
        <v>350</v>
      </c>
      <c r="K663" s="184" t="s">
        <v>295</v>
      </c>
      <c r="L663" s="185">
        <v>1</v>
      </c>
      <c r="M663" s="186">
        <v>0</v>
      </c>
      <c r="N663" s="186">
        <v>0</v>
      </c>
      <c r="O663" s="125">
        <f t="shared" si="55"/>
        <v>0</v>
      </c>
      <c r="P663" s="125"/>
      <c r="Q663" s="73">
        <f t="shared" si="57"/>
        <v>0</v>
      </c>
    </row>
    <row r="664" spans="1:17" ht="14.5" x14ac:dyDescent="0.35">
      <c r="A664" s="184" t="s">
        <v>155</v>
      </c>
      <c r="B664" s="184" t="s">
        <v>413</v>
      </c>
      <c r="C664" s="184" t="s">
        <v>70</v>
      </c>
      <c r="D664" s="185" t="s">
        <v>287</v>
      </c>
      <c r="E664" s="185">
        <v>16393</v>
      </c>
      <c r="F664" s="185" t="s">
        <v>149</v>
      </c>
      <c r="G664" s="184">
        <v>102002</v>
      </c>
      <c r="H664" s="184" t="s">
        <v>112</v>
      </c>
      <c r="I664" s="184" t="s">
        <v>294</v>
      </c>
      <c r="J664" s="184" t="s">
        <v>295</v>
      </c>
      <c r="K664" s="184" t="s">
        <v>295</v>
      </c>
      <c r="L664" s="185">
        <v>1</v>
      </c>
      <c r="M664" s="186">
        <v>11519.08</v>
      </c>
      <c r="N664" s="186">
        <v>0</v>
      </c>
      <c r="O664" s="125">
        <f t="shared" si="55"/>
        <v>11519.08</v>
      </c>
      <c r="P664" s="125"/>
      <c r="Q664" s="73">
        <f t="shared" si="57"/>
        <v>1314.3270280000002</v>
      </c>
    </row>
    <row r="665" spans="1:17" ht="14.5" x14ac:dyDescent="0.35">
      <c r="A665" s="184" t="s">
        <v>155</v>
      </c>
      <c r="B665" s="184" t="s">
        <v>413</v>
      </c>
      <c r="C665" s="184" t="s">
        <v>70</v>
      </c>
      <c r="D665" s="185" t="s">
        <v>287</v>
      </c>
      <c r="E665" s="185">
        <v>16394</v>
      </c>
      <c r="F665" s="185" t="s">
        <v>149</v>
      </c>
      <c r="G665" s="184">
        <v>102002</v>
      </c>
      <c r="H665" s="184" t="s">
        <v>112</v>
      </c>
      <c r="I665" s="184" t="s">
        <v>294</v>
      </c>
      <c r="J665" s="184" t="s">
        <v>349</v>
      </c>
      <c r="K665" s="184" t="s">
        <v>295</v>
      </c>
      <c r="L665" s="185">
        <v>1</v>
      </c>
      <c r="M665" s="186">
        <v>4127.51</v>
      </c>
      <c r="N665" s="186">
        <v>0</v>
      </c>
      <c r="O665" s="125">
        <f t="shared" si="55"/>
        <v>4127.51</v>
      </c>
      <c r="P665" s="125"/>
      <c r="Q665" s="73">
        <f t="shared" si="57"/>
        <v>470.94889100000006</v>
      </c>
    </row>
    <row r="666" spans="1:17" ht="14.5" x14ac:dyDescent="0.35">
      <c r="A666" s="184" t="s">
        <v>155</v>
      </c>
      <c r="B666" s="184" t="s">
        <v>413</v>
      </c>
      <c r="C666" s="184" t="s">
        <v>70</v>
      </c>
      <c r="D666" s="185" t="s">
        <v>287</v>
      </c>
      <c r="E666" s="185">
        <v>16395</v>
      </c>
      <c r="F666" s="185" t="s">
        <v>149</v>
      </c>
      <c r="G666" s="184">
        <v>102003</v>
      </c>
      <c r="H666" s="184" t="s">
        <v>110</v>
      </c>
      <c r="I666" s="184" t="s">
        <v>294</v>
      </c>
      <c r="J666" s="184" t="s">
        <v>295</v>
      </c>
      <c r="K666" s="184" t="s">
        <v>295</v>
      </c>
      <c r="L666" s="185">
        <v>1</v>
      </c>
      <c r="M666" s="186">
        <v>673593.95</v>
      </c>
      <c r="N666" s="186">
        <v>213000</v>
      </c>
      <c r="O666" s="125">
        <f t="shared" si="55"/>
        <v>460593.94999999995</v>
      </c>
      <c r="P666" s="125"/>
      <c r="Q666" s="73">
        <f t="shared" si="57"/>
        <v>76857.069695000013</v>
      </c>
    </row>
    <row r="667" spans="1:17" ht="14.5" x14ac:dyDescent="0.35">
      <c r="A667" s="184" t="s">
        <v>155</v>
      </c>
      <c r="B667" s="184" t="s">
        <v>413</v>
      </c>
      <c r="C667" s="184" t="s">
        <v>70</v>
      </c>
      <c r="D667" s="185" t="s">
        <v>287</v>
      </c>
      <c r="E667" s="185">
        <v>16396</v>
      </c>
      <c r="F667" s="185" t="s">
        <v>149</v>
      </c>
      <c r="G667" s="184">
        <v>102003</v>
      </c>
      <c r="H667" s="184" t="s">
        <v>110</v>
      </c>
      <c r="I667" s="184" t="s">
        <v>294</v>
      </c>
      <c r="J667" s="184" t="s">
        <v>349</v>
      </c>
      <c r="K667" s="184" t="s">
        <v>295</v>
      </c>
      <c r="L667" s="185">
        <v>1</v>
      </c>
      <c r="M667" s="186">
        <v>447316.47</v>
      </c>
      <c r="N667" s="186">
        <v>0</v>
      </c>
      <c r="O667" s="125">
        <f t="shared" si="55"/>
        <v>447316.47</v>
      </c>
      <c r="P667" s="125"/>
      <c r="Q667" s="73">
        <f t="shared" si="57"/>
        <v>51038.809226999998</v>
      </c>
    </row>
    <row r="668" spans="1:17" ht="14.5" x14ac:dyDescent="0.35">
      <c r="A668" s="184" t="s">
        <v>155</v>
      </c>
      <c r="B668" s="184" t="s">
        <v>413</v>
      </c>
      <c r="C668" s="184" t="s">
        <v>70</v>
      </c>
      <c r="D668" s="185" t="s">
        <v>287</v>
      </c>
      <c r="E668" s="185">
        <v>16397</v>
      </c>
      <c r="F668" s="185" t="s">
        <v>149</v>
      </c>
      <c r="G668" s="184">
        <v>102003</v>
      </c>
      <c r="H668" s="184" t="s">
        <v>110</v>
      </c>
      <c r="I668" s="184" t="s">
        <v>294</v>
      </c>
      <c r="J668" s="184" t="s">
        <v>347</v>
      </c>
      <c r="K668" s="184" t="s">
        <v>295</v>
      </c>
      <c r="L668" s="185">
        <v>1</v>
      </c>
      <c r="M668" s="186">
        <v>8656.25</v>
      </c>
      <c r="N668" s="186">
        <v>0</v>
      </c>
      <c r="O668" s="125">
        <f t="shared" si="55"/>
        <v>8656.25</v>
      </c>
      <c r="P668" s="125"/>
      <c r="Q668" s="73">
        <f t="shared" si="57"/>
        <v>987.67812500000002</v>
      </c>
    </row>
    <row r="669" spans="1:17" ht="14.5" x14ac:dyDescent="0.35">
      <c r="A669" s="184" t="s">
        <v>155</v>
      </c>
      <c r="B669" s="184" t="s">
        <v>413</v>
      </c>
      <c r="C669" s="184" t="s">
        <v>70</v>
      </c>
      <c r="D669" s="185" t="s">
        <v>287</v>
      </c>
      <c r="E669" s="185">
        <v>16398</v>
      </c>
      <c r="F669" s="185" t="s">
        <v>149</v>
      </c>
      <c r="G669" s="184">
        <v>102005</v>
      </c>
      <c r="H669" s="184" t="s">
        <v>116</v>
      </c>
      <c r="I669" s="184" t="s">
        <v>294</v>
      </c>
      <c r="J669" s="184" t="s">
        <v>295</v>
      </c>
      <c r="K669" s="184" t="s">
        <v>295</v>
      </c>
      <c r="L669" s="185">
        <v>1</v>
      </c>
      <c r="M669" s="186">
        <v>84384.26</v>
      </c>
      <c r="N669" s="186">
        <v>0</v>
      </c>
      <c r="O669" s="125">
        <f t="shared" si="55"/>
        <v>84384.26</v>
      </c>
      <c r="P669" s="125"/>
      <c r="Q669" s="73">
        <f t="shared" si="57"/>
        <v>9628.2440659999993</v>
      </c>
    </row>
    <row r="670" spans="1:17" ht="14.5" x14ac:dyDescent="0.35">
      <c r="A670" s="184" t="s">
        <v>155</v>
      </c>
      <c r="B670" s="184" t="s">
        <v>413</v>
      </c>
      <c r="C670" s="184" t="s">
        <v>70</v>
      </c>
      <c r="D670" s="185" t="s">
        <v>287</v>
      </c>
      <c r="E670" s="185">
        <v>16399</v>
      </c>
      <c r="F670" s="185" t="s">
        <v>149</v>
      </c>
      <c r="G670" s="184">
        <v>102005</v>
      </c>
      <c r="H670" s="184" t="s">
        <v>116</v>
      </c>
      <c r="I670" s="184" t="s">
        <v>294</v>
      </c>
      <c r="J670" s="184" t="s">
        <v>386</v>
      </c>
      <c r="K670" s="184" t="s">
        <v>295</v>
      </c>
      <c r="L670" s="185">
        <v>1</v>
      </c>
      <c r="M670" s="186">
        <v>1920.24</v>
      </c>
      <c r="N670" s="186">
        <v>0</v>
      </c>
      <c r="O670" s="125">
        <f t="shared" si="55"/>
        <v>1920.24</v>
      </c>
      <c r="P670" s="125"/>
      <c r="Q670" s="73">
        <f t="shared" si="57"/>
        <v>219.09938400000001</v>
      </c>
    </row>
    <row r="671" spans="1:17" ht="14.5" x14ac:dyDescent="0.35">
      <c r="A671" s="184" t="s">
        <v>155</v>
      </c>
      <c r="B671" s="184" t="s">
        <v>413</v>
      </c>
      <c r="C671" s="184" t="s">
        <v>70</v>
      </c>
      <c r="D671" s="185" t="s">
        <v>287</v>
      </c>
      <c r="E671" s="185">
        <v>16400</v>
      </c>
      <c r="F671" s="185" t="s">
        <v>149</v>
      </c>
      <c r="G671" s="184">
        <v>102060</v>
      </c>
      <c r="H671" s="184" t="s">
        <v>301</v>
      </c>
      <c r="I671" s="184" t="s">
        <v>294</v>
      </c>
      <c r="J671" s="184" t="s">
        <v>349</v>
      </c>
      <c r="K671" s="184" t="s">
        <v>295</v>
      </c>
      <c r="L671" s="185">
        <v>1</v>
      </c>
      <c r="M671" s="186">
        <v>474.88</v>
      </c>
      <c r="N671" s="186">
        <v>0</v>
      </c>
      <c r="O671" s="125">
        <f t="shared" si="55"/>
        <v>474.88</v>
      </c>
      <c r="P671" s="125"/>
      <c r="Q671" s="73">
        <f t="shared" si="57"/>
        <v>54.183807999999999</v>
      </c>
    </row>
    <row r="672" spans="1:17" ht="14.5" x14ac:dyDescent="0.35">
      <c r="A672" s="184" t="s">
        <v>155</v>
      </c>
      <c r="B672" s="184" t="s">
        <v>413</v>
      </c>
      <c r="C672" s="184" t="s">
        <v>70</v>
      </c>
      <c r="D672" s="185" t="s">
        <v>287</v>
      </c>
      <c r="E672" s="185">
        <v>16401</v>
      </c>
      <c r="F672" s="185" t="s">
        <v>149</v>
      </c>
      <c r="G672" s="184">
        <v>102062</v>
      </c>
      <c r="H672" s="184" t="s">
        <v>117</v>
      </c>
      <c r="I672" s="184" t="s">
        <v>294</v>
      </c>
      <c r="J672" s="184" t="s">
        <v>295</v>
      </c>
      <c r="K672" s="184" t="s">
        <v>295</v>
      </c>
      <c r="L672" s="185">
        <v>1</v>
      </c>
      <c r="M672" s="186">
        <v>13305.19</v>
      </c>
      <c r="N672" s="186">
        <v>0</v>
      </c>
      <c r="O672" s="125">
        <f t="shared" si="55"/>
        <v>13305.19</v>
      </c>
      <c r="P672" s="125"/>
      <c r="Q672" s="73">
        <f t="shared" si="57"/>
        <v>1518.1221790000002</v>
      </c>
    </row>
    <row r="673" spans="1:17" ht="14.5" x14ac:dyDescent="0.35">
      <c r="A673" s="184" t="s">
        <v>155</v>
      </c>
      <c r="B673" s="184" t="s">
        <v>413</v>
      </c>
      <c r="C673" s="184" t="s">
        <v>70</v>
      </c>
      <c r="D673" s="185" t="s">
        <v>287</v>
      </c>
      <c r="E673" s="185">
        <v>16402</v>
      </c>
      <c r="F673" s="185" t="s">
        <v>149</v>
      </c>
      <c r="G673" s="184">
        <v>102062</v>
      </c>
      <c r="H673" s="184" t="s">
        <v>117</v>
      </c>
      <c r="I673" s="184" t="s">
        <v>294</v>
      </c>
      <c r="J673" s="184" t="s">
        <v>349</v>
      </c>
      <c r="K673" s="184" t="s">
        <v>295</v>
      </c>
      <c r="L673" s="185">
        <v>1</v>
      </c>
      <c r="M673" s="186">
        <v>250.88</v>
      </c>
      <c r="N673" s="186">
        <v>0</v>
      </c>
      <c r="O673" s="125">
        <f t="shared" si="55"/>
        <v>250.88</v>
      </c>
      <c r="P673" s="125"/>
      <c r="Q673" s="73">
        <f t="shared" si="57"/>
        <v>28.625408</v>
      </c>
    </row>
    <row r="674" spans="1:17" ht="14.5" x14ac:dyDescent="0.35">
      <c r="A674" s="184" t="s">
        <v>155</v>
      </c>
      <c r="B674" s="184" t="s">
        <v>413</v>
      </c>
      <c r="C674" s="184" t="s">
        <v>70</v>
      </c>
      <c r="D674" s="185" t="s">
        <v>287</v>
      </c>
      <c r="E674" s="185">
        <v>16403</v>
      </c>
      <c r="F674" s="185" t="s">
        <v>149</v>
      </c>
      <c r="G674" s="184">
        <v>103001</v>
      </c>
      <c r="H674" s="184" t="s">
        <v>113</v>
      </c>
      <c r="I674" s="184" t="s">
        <v>294</v>
      </c>
      <c r="J674" s="184" t="s">
        <v>295</v>
      </c>
      <c r="K674" s="184" t="s">
        <v>295</v>
      </c>
      <c r="L674" s="185">
        <v>1</v>
      </c>
      <c r="M674" s="186">
        <v>21845.02</v>
      </c>
      <c r="N674" s="186">
        <v>0</v>
      </c>
      <c r="O674" s="125">
        <f t="shared" si="55"/>
        <v>21845.02</v>
      </c>
      <c r="P674" s="125"/>
      <c r="Q674" s="73">
        <f t="shared" si="57"/>
        <v>2492.5167820000001</v>
      </c>
    </row>
    <row r="675" spans="1:17" ht="14.5" x14ac:dyDescent="0.35">
      <c r="A675" s="184" t="s">
        <v>155</v>
      </c>
      <c r="B675" s="184" t="s">
        <v>413</v>
      </c>
      <c r="C675" s="184" t="s">
        <v>70</v>
      </c>
      <c r="D675" s="185" t="s">
        <v>287</v>
      </c>
      <c r="E675" s="185">
        <v>16404</v>
      </c>
      <c r="F675" s="185" t="s">
        <v>149</v>
      </c>
      <c r="G675" s="184">
        <v>103001</v>
      </c>
      <c r="H675" s="184" t="s">
        <v>113</v>
      </c>
      <c r="I675" s="184" t="s">
        <v>294</v>
      </c>
      <c r="J675" s="184" t="s">
        <v>349</v>
      </c>
      <c r="K675" s="184" t="s">
        <v>295</v>
      </c>
      <c r="L675" s="185">
        <v>1</v>
      </c>
      <c r="M675" s="186">
        <v>13264.6</v>
      </c>
      <c r="N675" s="186">
        <v>0</v>
      </c>
      <c r="O675" s="125">
        <f t="shared" si="55"/>
        <v>13264.6</v>
      </c>
      <c r="P675" s="125"/>
      <c r="Q675" s="73">
        <f t="shared" si="57"/>
        <v>1513.4908600000001</v>
      </c>
    </row>
    <row r="676" spans="1:17" ht="14.5" x14ac:dyDescent="0.35">
      <c r="A676" s="184" t="s">
        <v>155</v>
      </c>
      <c r="B676" s="184" t="s">
        <v>413</v>
      </c>
      <c r="C676" s="184" t="s">
        <v>70</v>
      </c>
      <c r="D676" s="185" t="s">
        <v>287</v>
      </c>
      <c r="E676" s="185">
        <v>16405</v>
      </c>
      <c r="F676" s="185" t="s">
        <v>149</v>
      </c>
      <c r="G676" s="184">
        <v>103069</v>
      </c>
      <c r="H676" s="184" t="s">
        <v>225</v>
      </c>
      <c r="I676" s="184" t="s">
        <v>294</v>
      </c>
      <c r="J676" s="184" t="s">
        <v>295</v>
      </c>
      <c r="K676" s="184" t="s">
        <v>295</v>
      </c>
      <c r="L676" s="185">
        <v>1</v>
      </c>
      <c r="M676" s="186">
        <v>27674.639999999999</v>
      </c>
      <c r="N676" s="186">
        <v>0</v>
      </c>
      <c r="O676" s="125">
        <f t="shared" si="55"/>
        <v>27674.639999999999</v>
      </c>
      <c r="P676" s="125"/>
      <c r="Q676" s="73">
        <f t="shared" si="57"/>
        <v>3157.6764239999998</v>
      </c>
    </row>
    <row r="677" spans="1:17" ht="14.5" x14ac:dyDescent="0.35">
      <c r="A677" s="184" t="s">
        <v>155</v>
      </c>
      <c r="B677" s="184" t="s">
        <v>413</v>
      </c>
      <c r="C677" s="184" t="s">
        <v>70</v>
      </c>
      <c r="D677" s="185" t="s">
        <v>287</v>
      </c>
      <c r="E677" s="185">
        <v>16406</v>
      </c>
      <c r="F677" s="185" t="s">
        <v>149</v>
      </c>
      <c r="G677" s="184">
        <v>104000</v>
      </c>
      <c r="H677" s="184" t="s">
        <v>114</v>
      </c>
      <c r="I677" s="184" t="s">
        <v>294</v>
      </c>
      <c r="J677" s="184" t="s">
        <v>295</v>
      </c>
      <c r="K677" s="184" t="s">
        <v>295</v>
      </c>
      <c r="L677" s="185">
        <v>1</v>
      </c>
      <c r="M677" s="186">
        <v>61745.19</v>
      </c>
      <c r="N677" s="186">
        <v>76000</v>
      </c>
      <c r="O677" s="125">
        <f t="shared" si="55"/>
        <v>-14254.809999999998</v>
      </c>
      <c r="P677" s="125"/>
      <c r="Q677" s="73">
        <f t="shared" si="57"/>
        <v>7045.1261790000008</v>
      </c>
    </row>
    <row r="678" spans="1:17" ht="14.5" x14ac:dyDescent="0.35">
      <c r="A678" s="184" t="s">
        <v>155</v>
      </c>
      <c r="B678" s="184" t="s">
        <v>413</v>
      </c>
      <c r="C678" s="184" t="s">
        <v>70</v>
      </c>
      <c r="D678" s="185" t="s">
        <v>287</v>
      </c>
      <c r="E678" s="185">
        <v>16407</v>
      </c>
      <c r="F678" s="185" t="s">
        <v>149</v>
      </c>
      <c r="G678" s="184">
        <v>104000</v>
      </c>
      <c r="H678" s="184" t="s">
        <v>114</v>
      </c>
      <c r="I678" s="184" t="s">
        <v>294</v>
      </c>
      <c r="J678" s="184" t="s">
        <v>349</v>
      </c>
      <c r="K678" s="184" t="s">
        <v>295</v>
      </c>
      <c r="L678" s="185">
        <v>1</v>
      </c>
      <c r="M678" s="186">
        <v>133168.93</v>
      </c>
      <c r="N678" s="186">
        <v>133000</v>
      </c>
      <c r="O678" s="125">
        <f t="shared" si="55"/>
        <v>168.92999999999302</v>
      </c>
      <c r="P678" s="125"/>
      <c r="Q678" s="73">
        <f t="shared" si="57"/>
        <v>15194.574913</v>
      </c>
    </row>
    <row r="679" spans="1:17" ht="14.5" x14ac:dyDescent="0.35">
      <c r="A679" s="184" t="s">
        <v>155</v>
      </c>
      <c r="B679" s="184" t="s">
        <v>413</v>
      </c>
      <c r="C679" s="184" t="s">
        <v>70</v>
      </c>
      <c r="D679" s="185" t="s">
        <v>287</v>
      </c>
      <c r="E679" s="185">
        <v>16408</v>
      </c>
      <c r="F679" s="185" t="s">
        <v>149</v>
      </c>
      <c r="G679" s="184">
        <v>105003</v>
      </c>
      <c r="H679" s="184" t="s">
        <v>317</v>
      </c>
      <c r="I679" s="184" t="s">
        <v>294</v>
      </c>
      <c r="J679" s="184" t="s">
        <v>295</v>
      </c>
      <c r="K679" s="184" t="s">
        <v>295</v>
      </c>
      <c r="L679" s="185">
        <v>1</v>
      </c>
      <c r="M679" s="186">
        <v>163379.97</v>
      </c>
      <c r="N679" s="186">
        <v>0</v>
      </c>
      <c r="O679" s="125">
        <f t="shared" si="55"/>
        <v>163379.97</v>
      </c>
      <c r="P679" s="125"/>
      <c r="Q679" s="73">
        <f t="shared" si="57"/>
        <v>18641.654577000001</v>
      </c>
    </row>
    <row r="680" spans="1:17" ht="14.5" x14ac:dyDescent="0.35">
      <c r="A680" s="184" t="s">
        <v>155</v>
      </c>
      <c r="B680" s="184" t="s">
        <v>413</v>
      </c>
      <c r="C680" s="184" t="s">
        <v>70</v>
      </c>
      <c r="D680" s="185" t="s">
        <v>287</v>
      </c>
      <c r="E680" s="185">
        <v>16409</v>
      </c>
      <c r="F680" s="185" t="s">
        <v>149</v>
      </c>
      <c r="G680" s="184">
        <v>105009</v>
      </c>
      <c r="H680" s="184" t="s">
        <v>302</v>
      </c>
      <c r="I680" s="184" t="s">
        <v>294</v>
      </c>
      <c r="J680" s="184" t="s">
        <v>386</v>
      </c>
      <c r="K680" s="184" t="s">
        <v>295</v>
      </c>
      <c r="L680" s="185">
        <v>1</v>
      </c>
      <c r="M680" s="186">
        <v>35559</v>
      </c>
      <c r="N680" s="186">
        <v>0</v>
      </c>
      <c r="O680" s="125">
        <f t="shared" si="55"/>
        <v>35559</v>
      </c>
      <c r="P680" s="125"/>
      <c r="Q680" s="73">
        <f t="shared" si="57"/>
        <v>4057.2819</v>
      </c>
    </row>
    <row r="681" spans="1:17" ht="14.5" x14ac:dyDescent="0.35">
      <c r="A681" s="184" t="s">
        <v>155</v>
      </c>
      <c r="B681" s="184" t="s">
        <v>413</v>
      </c>
      <c r="C681" s="184" t="s">
        <v>70</v>
      </c>
      <c r="D681" s="185" t="s">
        <v>287</v>
      </c>
      <c r="E681" s="185">
        <v>16410</v>
      </c>
      <c r="F681" s="185" t="s">
        <v>149</v>
      </c>
      <c r="G681" s="184">
        <v>105010</v>
      </c>
      <c r="H681" s="184" t="s">
        <v>124</v>
      </c>
      <c r="I681" s="184" t="s">
        <v>294</v>
      </c>
      <c r="J681" s="184" t="s">
        <v>295</v>
      </c>
      <c r="K681" s="184" t="s">
        <v>295</v>
      </c>
      <c r="L681" s="185">
        <v>1</v>
      </c>
      <c r="M681" s="186">
        <v>314.3</v>
      </c>
      <c r="N681" s="186">
        <v>0</v>
      </c>
      <c r="O681" s="125">
        <f t="shared" si="55"/>
        <v>314.3</v>
      </c>
      <c r="P681" s="125"/>
      <c r="Q681" s="73">
        <f t="shared" si="57"/>
        <v>35.861630000000005</v>
      </c>
    </row>
    <row r="682" spans="1:17" ht="14.5" x14ac:dyDescent="0.35">
      <c r="A682" s="184" t="s">
        <v>155</v>
      </c>
      <c r="B682" s="184" t="s">
        <v>413</v>
      </c>
      <c r="C682" s="184" t="s">
        <v>70</v>
      </c>
      <c r="D682" s="185" t="s">
        <v>287</v>
      </c>
      <c r="E682" s="185">
        <v>16411</v>
      </c>
      <c r="F682" s="185" t="s">
        <v>149</v>
      </c>
      <c r="G682" s="184">
        <v>105019</v>
      </c>
      <c r="H682" s="184" t="s">
        <v>115</v>
      </c>
      <c r="I682" s="184" t="s">
        <v>294</v>
      </c>
      <c r="J682" s="184" t="s">
        <v>295</v>
      </c>
      <c r="K682" s="184" t="s">
        <v>295</v>
      </c>
      <c r="L682" s="185">
        <v>1</v>
      </c>
      <c r="M682" s="186">
        <v>28.57</v>
      </c>
      <c r="N682" s="186">
        <v>0</v>
      </c>
      <c r="O682" s="125">
        <f t="shared" si="55"/>
        <v>28.57</v>
      </c>
      <c r="P682" s="125"/>
      <c r="Q682" s="73">
        <f t="shared" si="57"/>
        <v>3.2598370000000001</v>
      </c>
    </row>
    <row r="683" spans="1:17" ht="14.5" x14ac:dyDescent="0.35">
      <c r="A683" s="184" t="s">
        <v>155</v>
      </c>
      <c r="B683" s="184" t="s">
        <v>413</v>
      </c>
      <c r="C683" s="184" t="s">
        <v>70</v>
      </c>
      <c r="D683" s="185" t="s">
        <v>287</v>
      </c>
      <c r="E683" s="185">
        <v>16412</v>
      </c>
      <c r="F683" s="185" t="s">
        <v>149</v>
      </c>
      <c r="G683" s="184">
        <v>105098</v>
      </c>
      <c r="H683" s="184" t="s">
        <v>314</v>
      </c>
      <c r="I683" s="184" t="s">
        <v>294</v>
      </c>
      <c r="J683" s="184" t="s">
        <v>391</v>
      </c>
      <c r="K683" s="184" t="s">
        <v>295</v>
      </c>
      <c r="L683" s="185">
        <v>1</v>
      </c>
      <c r="M683" s="186">
        <v>-4392</v>
      </c>
      <c r="N683" s="186">
        <v>0</v>
      </c>
      <c r="O683" s="125">
        <f t="shared" si="55"/>
        <v>-4392</v>
      </c>
      <c r="P683" s="125"/>
      <c r="Q683" s="73">
        <f t="shared" si="57"/>
        <v>-501.12720000000007</v>
      </c>
    </row>
    <row r="684" spans="1:17" ht="14.5" x14ac:dyDescent="0.35">
      <c r="A684" s="184" t="s">
        <v>155</v>
      </c>
      <c r="B684" s="184" t="s">
        <v>413</v>
      </c>
      <c r="C684" s="184" t="s">
        <v>70</v>
      </c>
      <c r="D684" s="185" t="s">
        <v>287</v>
      </c>
      <c r="E684" s="185">
        <v>16413</v>
      </c>
      <c r="F684" s="185" t="s">
        <v>149</v>
      </c>
      <c r="G684" s="184">
        <v>105099</v>
      </c>
      <c r="H684" s="184" t="s">
        <v>107</v>
      </c>
      <c r="I684" s="184" t="s">
        <v>294</v>
      </c>
      <c r="J684" s="184" t="s">
        <v>392</v>
      </c>
      <c r="K684" s="184" t="s">
        <v>295</v>
      </c>
      <c r="L684" s="185">
        <v>1</v>
      </c>
      <c r="M684" s="186">
        <v>4392</v>
      </c>
      <c r="N684" s="186">
        <v>0</v>
      </c>
      <c r="O684" s="125">
        <f t="shared" si="55"/>
        <v>4392</v>
      </c>
      <c r="P684" s="125"/>
      <c r="Q684" s="73">
        <f t="shared" si="57"/>
        <v>501.12720000000007</v>
      </c>
    </row>
    <row r="685" spans="1:17" ht="14.5" x14ac:dyDescent="0.35">
      <c r="A685" s="184" t="s">
        <v>155</v>
      </c>
      <c r="B685" s="184" t="s">
        <v>413</v>
      </c>
      <c r="C685" s="184" t="s">
        <v>70</v>
      </c>
      <c r="D685" s="185" t="s">
        <v>287</v>
      </c>
      <c r="E685" s="185">
        <v>16414</v>
      </c>
      <c r="F685" s="185" t="s">
        <v>149</v>
      </c>
      <c r="G685" s="184">
        <v>107503</v>
      </c>
      <c r="H685" s="184" t="s">
        <v>318</v>
      </c>
      <c r="I685" s="184" t="s">
        <v>294</v>
      </c>
      <c r="J685" s="184" t="s">
        <v>295</v>
      </c>
      <c r="K685" s="184" t="s">
        <v>295</v>
      </c>
      <c r="L685" s="185">
        <v>1</v>
      </c>
      <c r="M685" s="186">
        <v>1920.24</v>
      </c>
      <c r="N685" s="186">
        <v>0</v>
      </c>
      <c r="O685" s="125">
        <f t="shared" si="55"/>
        <v>1920.24</v>
      </c>
      <c r="P685" s="125"/>
      <c r="Q685" s="73">
        <f t="shared" si="57"/>
        <v>219.09938400000001</v>
      </c>
    </row>
    <row r="686" spans="1:17" ht="14.5" x14ac:dyDescent="0.35">
      <c r="A686" s="184" t="s">
        <v>155</v>
      </c>
      <c r="B686" s="184" t="s">
        <v>413</v>
      </c>
      <c r="C686" s="184" t="s">
        <v>70</v>
      </c>
      <c r="D686" s="185" t="s">
        <v>287</v>
      </c>
      <c r="E686" s="185">
        <v>16415</v>
      </c>
      <c r="F686" s="185" t="s">
        <v>149</v>
      </c>
      <c r="G686" s="189">
        <v>109001</v>
      </c>
      <c r="H686" s="184" t="s">
        <v>105</v>
      </c>
      <c r="I686" s="184" t="s">
        <v>294</v>
      </c>
      <c r="J686" s="184" t="s">
        <v>295</v>
      </c>
      <c r="K686" s="184" t="s">
        <v>295</v>
      </c>
      <c r="L686" s="185">
        <v>1</v>
      </c>
      <c r="M686" s="186">
        <v>998219.88</v>
      </c>
      <c r="N686" s="186">
        <v>966000</v>
      </c>
      <c r="O686" s="125">
        <f t="shared" si="55"/>
        <v>32219.880000000005</v>
      </c>
      <c r="P686" s="164">
        <f t="shared" ref="P686:P690" si="58">M686*-1</f>
        <v>-998219.88</v>
      </c>
      <c r="Q686" s="164"/>
    </row>
    <row r="687" spans="1:17" ht="14.5" x14ac:dyDescent="0.35">
      <c r="A687" s="184" t="s">
        <v>155</v>
      </c>
      <c r="B687" s="184" t="s">
        <v>413</v>
      </c>
      <c r="C687" s="184" t="s">
        <v>70</v>
      </c>
      <c r="D687" s="185" t="s">
        <v>287</v>
      </c>
      <c r="E687" s="185">
        <v>16416</v>
      </c>
      <c r="F687" s="185" t="s">
        <v>149</v>
      </c>
      <c r="G687" s="189">
        <v>109001</v>
      </c>
      <c r="H687" s="184" t="s">
        <v>105</v>
      </c>
      <c r="I687" s="184" t="s">
        <v>294</v>
      </c>
      <c r="J687" s="184" t="s">
        <v>349</v>
      </c>
      <c r="K687" s="184" t="s">
        <v>295</v>
      </c>
      <c r="L687" s="185">
        <v>1</v>
      </c>
      <c r="M687" s="186">
        <v>34340.75</v>
      </c>
      <c r="N687" s="186">
        <v>34000</v>
      </c>
      <c r="O687" s="125">
        <f t="shared" si="55"/>
        <v>340.75</v>
      </c>
      <c r="P687" s="164">
        <f t="shared" si="58"/>
        <v>-34340.75</v>
      </c>
      <c r="Q687" s="164"/>
    </row>
    <row r="688" spans="1:17" ht="14.5" x14ac:dyDescent="0.35">
      <c r="A688" s="184" t="s">
        <v>155</v>
      </c>
      <c r="B688" s="184" t="s">
        <v>413</v>
      </c>
      <c r="C688" s="184" t="s">
        <v>70</v>
      </c>
      <c r="D688" s="185" t="s">
        <v>287</v>
      </c>
      <c r="E688" s="185">
        <v>16417</v>
      </c>
      <c r="F688" s="185" t="s">
        <v>149</v>
      </c>
      <c r="G688" s="189">
        <v>109001</v>
      </c>
      <c r="H688" s="184" t="s">
        <v>105</v>
      </c>
      <c r="I688" s="184" t="s">
        <v>294</v>
      </c>
      <c r="J688" s="184" t="s">
        <v>350</v>
      </c>
      <c r="K688" s="184" t="s">
        <v>295</v>
      </c>
      <c r="L688" s="185">
        <v>1</v>
      </c>
      <c r="M688" s="186">
        <v>0</v>
      </c>
      <c r="N688" s="186">
        <v>0</v>
      </c>
      <c r="O688" s="125">
        <f t="shared" si="55"/>
        <v>0</v>
      </c>
      <c r="P688" s="164">
        <f t="shared" si="58"/>
        <v>0</v>
      </c>
      <c r="Q688" s="164"/>
    </row>
    <row r="689" spans="1:17" ht="14.5" x14ac:dyDescent="0.35">
      <c r="A689" s="184" t="s">
        <v>155</v>
      </c>
      <c r="B689" s="184" t="s">
        <v>413</v>
      </c>
      <c r="C689" s="184" t="s">
        <v>70</v>
      </c>
      <c r="D689" s="185" t="s">
        <v>287</v>
      </c>
      <c r="E689" s="185">
        <v>16418</v>
      </c>
      <c r="F689" s="185" t="s">
        <v>149</v>
      </c>
      <c r="G689" s="189">
        <v>109001</v>
      </c>
      <c r="H689" s="184" t="s">
        <v>105</v>
      </c>
      <c r="I689" s="184" t="s">
        <v>294</v>
      </c>
      <c r="J689" s="184" t="s">
        <v>386</v>
      </c>
      <c r="K689" s="184" t="s">
        <v>295</v>
      </c>
      <c r="L689" s="185">
        <v>1</v>
      </c>
      <c r="M689" s="186">
        <v>3000</v>
      </c>
      <c r="N689" s="186">
        <v>0</v>
      </c>
      <c r="O689" s="125">
        <f t="shared" si="55"/>
        <v>3000</v>
      </c>
      <c r="P689" s="164">
        <f t="shared" si="58"/>
        <v>-3000</v>
      </c>
      <c r="Q689" s="164"/>
    </row>
    <row r="690" spans="1:17" ht="14.5" x14ac:dyDescent="0.35">
      <c r="A690" s="184" t="s">
        <v>155</v>
      </c>
      <c r="B690" s="184" t="s">
        <v>413</v>
      </c>
      <c r="C690" s="184" t="s">
        <v>70</v>
      </c>
      <c r="D690" s="185" t="s">
        <v>287</v>
      </c>
      <c r="E690" s="185">
        <v>16419</v>
      </c>
      <c r="F690" s="185" t="s">
        <v>149</v>
      </c>
      <c r="G690" s="189">
        <v>109001</v>
      </c>
      <c r="H690" s="184" t="s">
        <v>105</v>
      </c>
      <c r="I690" s="184" t="s">
        <v>294</v>
      </c>
      <c r="J690" s="184" t="s">
        <v>347</v>
      </c>
      <c r="K690" s="184" t="s">
        <v>295</v>
      </c>
      <c r="L690" s="185">
        <v>1</v>
      </c>
      <c r="M690" s="186">
        <v>871.54</v>
      </c>
      <c r="N690" s="186">
        <v>0</v>
      </c>
      <c r="O690" s="125">
        <f t="shared" si="55"/>
        <v>871.54</v>
      </c>
      <c r="P690" s="164">
        <f t="shared" si="58"/>
        <v>-871.54</v>
      </c>
      <c r="Q690" s="164"/>
    </row>
    <row r="691" spans="1:17" ht="14.5" x14ac:dyDescent="0.35">
      <c r="A691" s="184" t="s">
        <v>155</v>
      </c>
      <c r="B691" s="184" t="s">
        <v>413</v>
      </c>
      <c r="C691" s="184" t="s">
        <v>70</v>
      </c>
      <c r="D691" s="185" t="s">
        <v>287</v>
      </c>
      <c r="E691" s="185">
        <v>16420</v>
      </c>
      <c r="F691" s="185" t="s">
        <v>149</v>
      </c>
      <c r="G691" s="189">
        <v>109901</v>
      </c>
      <c r="H691" s="184" t="s">
        <v>106</v>
      </c>
      <c r="I691" s="184" t="s">
        <v>294</v>
      </c>
      <c r="J691" s="184" t="s">
        <v>295</v>
      </c>
      <c r="K691" s="184" t="s">
        <v>295</v>
      </c>
      <c r="L691" s="185">
        <v>1</v>
      </c>
      <c r="M691" s="186">
        <v>1535302.38</v>
      </c>
      <c r="N691" s="186">
        <v>1497000</v>
      </c>
      <c r="O691" s="125">
        <f t="shared" si="55"/>
        <v>38302.379999999888</v>
      </c>
      <c r="P691" s="164"/>
    </row>
    <row r="692" spans="1:17" ht="14.5" x14ac:dyDescent="0.35">
      <c r="A692" s="184" t="s">
        <v>155</v>
      </c>
      <c r="B692" s="184" t="s">
        <v>413</v>
      </c>
      <c r="C692" s="184" t="s">
        <v>70</v>
      </c>
      <c r="D692" s="185" t="s">
        <v>287</v>
      </c>
      <c r="E692" s="185">
        <v>16421</v>
      </c>
      <c r="F692" s="185" t="s">
        <v>149</v>
      </c>
      <c r="G692" s="189">
        <v>109901</v>
      </c>
      <c r="H692" s="184" t="s">
        <v>106</v>
      </c>
      <c r="I692" s="184" t="s">
        <v>294</v>
      </c>
      <c r="J692" s="184" t="s">
        <v>349</v>
      </c>
      <c r="K692" s="184" t="s">
        <v>295</v>
      </c>
      <c r="L692" s="185">
        <v>1</v>
      </c>
      <c r="M692" s="186">
        <v>89245.08</v>
      </c>
      <c r="N692" s="186">
        <v>89000</v>
      </c>
      <c r="O692" s="125">
        <f t="shared" si="55"/>
        <v>245.08000000000175</v>
      </c>
      <c r="P692" s="164"/>
    </row>
    <row r="693" spans="1:17" ht="14.5" x14ac:dyDescent="0.35">
      <c r="A693" s="184" t="s">
        <v>155</v>
      </c>
      <c r="B693" s="184" t="s">
        <v>413</v>
      </c>
      <c r="C693" s="184" t="s">
        <v>70</v>
      </c>
      <c r="D693" s="185" t="s">
        <v>287</v>
      </c>
      <c r="E693" s="185">
        <v>16422</v>
      </c>
      <c r="F693" s="185" t="s">
        <v>149</v>
      </c>
      <c r="G693" s="189">
        <v>109901</v>
      </c>
      <c r="H693" s="184" t="s">
        <v>106</v>
      </c>
      <c r="I693" s="184" t="s">
        <v>294</v>
      </c>
      <c r="J693" s="184" t="s">
        <v>392</v>
      </c>
      <c r="K693" s="184" t="s">
        <v>295</v>
      </c>
      <c r="L693" s="185">
        <v>1</v>
      </c>
      <c r="M693" s="186">
        <v>619.32000000000005</v>
      </c>
      <c r="N693" s="186">
        <v>0</v>
      </c>
      <c r="O693" s="125">
        <f t="shared" si="55"/>
        <v>619.32000000000005</v>
      </c>
      <c r="P693" s="164"/>
    </row>
    <row r="694" spans="1:17" ht="14.5" x14ac:dyDescent="0.35">
      <c r="A694" s="184" t="s">
        <v>155</v>
      </c>
      <c r="B694" s="184" t="s">
        <v>413</v>
      </c>
      <c r="C694" s="184" t="s">
        <v>70</v>
      </c>
      <c r="D694" s="185" t="s">
        <v>287</v>
      </c>
      <c r="E694" s="185">
        <v>16423</v>
      </c>
      <c r="F694" s="185" t="s">
        <v>149</v>
      </c>
      <c r="G694" s="189">
        <v>109901</v>
      </c>
      <c r="H694" s="184" t="s">
        <v>106</v>
      </c>
      <c r="I694" s="184" t="s">
        <v>294</v>
      </c>
      <c r="J694" s="184" t="s">
        <v>350</v>
      </c>
      <c r="K694" s="184" t="s">
        <v>295</v>
      </c>
      <c r="L694" s="185">
        <v>1</v>
      </c>
      <c r="M694" s="186">
        <v>0</v>
      </c>
      <c r="N694" s="186">
        <v>0</v>
      </c>
      <c r="O694" s="125">
        <f t="shared" si="55"/>
        <v>0</v>
      </c>
      <c r="P694" s="164"/>
    </row>
    <row r="695" spans="1:17" ht="14.5" x14ac:dyDescent="0.35">
      <c r="A695" s="184" t="s">
        <v>155</v>
      </c>
      <c r="B695" s="184" t="s">
        <v>413</v>
      </c>
      <c r="C695" s="184" t="s">
        <v>70</v>
      </c>
      <c r="D695" s="185" t="s">
        <v>287</v>
      </c>
      <c r="E695" s="185">
        <v>16424</v>
      </c>
      <c r="F695" s="185" t="s">
        <v>149</v>
      </c>
      <c r="G695" s="189">
        <v>109901</v>
      </c>
      <c r="H695" s="184" t="s">
        <v>106</v>
      </c>
      <c r="I695" s="184" t="s">
        <v>294</v>
      </c>
      <c r="J695" s="184" t="s">
        <v>386</v>
      </c>
      <c r="K695" s="184" t="s">
        <v>295</v>
      </c>
      <c r="L695" s="185">
        <v>1</v>
      </c>
      <c r="M695" s="186">
        <v>10284.57</v>
      </c>
      <c r="N695" s="186">
        <v>0</v>
      </c>
      <c r="O695" s="125">
        <f t="shared" si="55"/>
        <v>10284.57</v>
      </c>
      <c r="P695" s="164"/>
    </row>
    <row r="696" spans="1:17" ht="14.5" x14ac:dyDescent="0.35">
      <c r="A696" s="184" t="s">
        <v>155</v>
      </c>
      <c r="B696" s="184" t="s">
        <v>413</v>
      </c>
      <c r="C696" s="184" t="s">
        <v>70</v>
      </c>
      <c r="D696" s="185" t="s">
        <v>287</v>
      </c>
      <c r="E696" s="185">
        <v>16425</v>
      </c>
      <c r="F696" s="185" t="s">
        <v>149</v>
      </c>
      <c r="G696" s="189">
        <v>109901</v>
      </c>
      <c r="H696" s="184" t="s">
        <v>106</v>
      </c>
      <c r="I696" s="184" t="s">
        <v>294</v>
      </c>
      <c r="J696" s="184" t="s">
        <v>347</v>
      </c>
      <c r="K696" s="184" t="s">
        <v>295</v>
      </c>
      <c r="L696" s="185">
        <v>1</v>
      </c>
      <c r="M696" s="186">
        <v>1343.41</v>
      </c>
      <c r="N696" s="186">
        <v>0</v>
      </c>
      <c r="O696" s="125">
        <f t="shared" si="55"/>
        <v>1343.41</v>
      </c>
      <c r="P696" s="164"/>
    </row>
    <row r="697" spans="1:17" ht="14.5" x14ac:dyDescent="0.35">
      <c r="A697" s="184" t="s">
        <v>155</v>
      </c>
      <c r="B697" s="184" t="s">
        <v>414</v>
      </c>
      <c r="C697" s="184" t="s">
        <v>177</v>
      </c>
      <c r="D697" s="185" t="s">
        <v>287</v>
      </c>
      <c r="E697" s="185">
        <v>16531</v>
      </c>
      <c r="F697" s="185" t="s">
        <v>149</v>
      </c>
      <c r="G697" s="184">
        <v>101001</v>
      </c>
      <c r="H697" s="184" t="s">
        <v>108</v>
      </c>
      <c r="I697" s="184" t="s">
        <v>294</v>
      </c>
      <c r="J697" s="184" t="s">
        <v>295</v>
      </c>
      <c r="K697" s="184" t="s">
        <v>295</v>
      </c>
      <c r="L697" s="185">
        <v>1</v>
      </c>
      <c r="M697" s="186">
        <v>4009930.74</v>
      </c>
      <c r="N697" s="186">
        <v>4152000</v>
      </c>
      <c r="O697" s="125">
        <f t="shared" si="55"/>
        <v>-142069.25999999978</v>
      </c>
      <c r="P697" s="125"/>
      <c r="Q697" s="73">
        <f t="shared" ref="Q697:Q721" si="59">M697*$Q$7*1.141</f>
        <v>457533.09743400005</v>
      </c>
    </row>
    <row r="698" spans="1:17" ht="14.5" x14ac:dyDescent="0.35">
      <c r="A698" s="184" t="s">
        <v>155</v>
      </c>
      <c r="B698" s="184" t="s">
        <v>414</v>
      </c>
      <c r="C698" s="184" t="s">
        <v>177</v>
      </c>
      <c r="D698" s="185" t="s">
        <v>287</v>
      </c>
      <c r="E698" s="185">
        <v>16532</v>
      </c>
      <c r="F698" s="185" t="s">
        <v>149</v>
      </c>
      <c r="G698" s="184">
        <v>101002</v>
      </c>
      <c r="H698" s="184" t="s">
        <v>109</v>
      </c>
      <c r="I698" s="184" t="s">
        <v>294</v>
      </c>
      <c r="J698" s="184" t="s">
        <v>295</v>
      </c>
      <c r="K698" s="184" t="s">
        <v>295</v>
      </c>
      <c r="L698" s="185">
        <v>1</v>
      </c>
      <c r="M698" s="186">
        <v>3726.46</v>
      </c>
      <c r="N698" s="186">
        <v>0</v>
      </c>
      <c r="O698" s="125">
        <f t="shared" si="55"/>
        <v>3726.46</v>
      </c>
      <c r="P698" s="125"/>
      <c r="Q698" s="73">
        <f t="shared" si="59"/>
        <v>425.18908600000003</v>
      </c>
    </row>
    <row r="699" spans="1:17" ht="14.5" x14ac:dyDescent="0.35">
      <c r="A699" s="184" t="s">
        <v>155</v>
      </c>
      <c r="B699" s="184" t="s">
        <v>414</v>
      </c>
      <c r="C699" s="184" t="s">
        <v>177</v>
      </c>
      <c r="D699" s="185" t="s">
        <v>287</v>
      </c>
      <c r="E699" s="185">
        <v>16533</v>
      </c>
      <c r="F699" s="185" t="s">
        <v>149</v>
      </c>
      <c r="G699" s="184">
        <v>101002</v>
      </c>
      <c r="H699" s="184" t="s">
        <v>109</v>
      </c>
      <c r="I699" s="184" t="s">
        <v>294</v>
      </c>
      <c r="J699" s="184" t="s">
        <v>349</v>
      </c>
      <c r="K699" s="184" t="s">
        <v>295</v>
      </c>
      <c r="L699" s="185">
        <v>1</v>
      </c>
      <c r="M699" s="186">
        <v>5196.76</v>
      </c>
      <c r="N699" s="186">
        <v>197000</v>
      </c>
      <c r="O699" s="125">
        <f t="shared" si="55"/>
        <v>-191803.24</v>
      </c>
      <c r="P699" s="125"/>
      <c r="Q699" s="73">
        <f t="shared" si="59"/>
        <v>592.95031600000004</v>
      </c>
    </row>
    <row r="700" spans="1:17" ht="14.5" x14ac:dyDescent="0.35">
      <c r="A700" s="184" t="s">
        <v>155</v>
      </c>
      <c r="B700" s="184" t="s">
        <v>414</v>
      </c>
      <c r="C700" s="184" t="s">
        <v>177</v>
      </c>
      <c r="D700" s="185" t="s">
        <v>287</v>
      </c>
      <c r="E700" s="185">
        <v>16534</v>
      </c>
      <c r="F700" s="185" t="s">
        <v>149</v>
      </c>
      <c r="G700" s="184">
        <v>101002</v>
      </c>
      <c r="H700" s="184" t="s">
        <v>109</v>
      </c>
      <c r="I700" s="184" t="s">
        <v>294</v>
      </c>
      <c r="J700" s="184" t="s">
        <v>347</v>
      </c>
      <c r="K700" s="184" t="s">
        <v>295</v>
      </c>
      <c r="L700" s="185">
        <v>1</v>
      </c>
      <c r="M700" s="186">
        <v>6279.19</v>
      </c>
      <c r="N700" s="186">
        <v>0</v>
      </c>
      <c r="O700" s="125">
        <f t="shared" si="55"/>
        <v>6279.19</v>
      </c>
      <c r="P700" s="125"/>
      <c r="Q700" s="73">
        <f t="shared" si="59"/>
        <v>716.45557899999994</v>
      </c>
    </row>
    <row r="701" spans="1:17" ht="14.5" x14ac:dyDescent="0.35">
      <c r="A701" s="184" t="s">
        <v>155</v>
      </c>
      <c r="B701" s="184" t="s">
        <v>414</v>
      </c>
      <c r="C701" s="184" t="s">
        <v>177</v>
      </c>
      <c r="D701" s="185" t="s">
        <v>287</v>
      </c>
      <c r="E701" s="185">
        <v>16535</v>
      </c>
      <c r="F701" s="185" t="s">
        <v>149</v>
      </c>
      <c r="G701" s="184">
        <v>101039</v>
      </c>
      <c r="H701" s="184" t="s">
        <v>111</v>
      </c>
      <c r="I701" s="184" t="s">
        <v>294</v>
      </c>
      <c r="J701" s="184" t="s">
        <v>295</v>
      </c>
      <c r="K701" s="184" t="s">
        <v>295</v>
      </c>
      <c r="L701" s="185">
        <v>1</v>
      </c>
      <c r="M701" s="186">
        <v>107230.96</v>
      </c>
      <c r="N701" s="186">
        <v>4000</v>
      </c>
      <c r="O701" s="125">
        <f t="shared" si="55"/>
        <v>103230.96</v>
      </c>
      <c r="P701" s="125"/>
      <c r="Q701" s="73">
        <f t="shared" si="59"/>
        <v>12235.052536000001</v>
      </c>
    </row>
    <row r="702" spans="1:17" ht="14.5" x14ac:dyDescent="0.35">
      <c r="A702" s="184" t="s">
        <v>155</v>
      </c>
      <c r="B702" s="184" t="s">
        <v>414</v>
      </c>
      <c r="C702" s="184" t="s">
        <v>177</v>
      </c>
      <c r="D702" s="185" t="s">
        <v>287</v>
      </c>
      <c r="E702" s="185">
        <v>16536</v>
      </c>
      <c r="F702" s="185" t="s">
        <v>149</v>
      </c>
      <c r="G702" s="184">
        <v>102002</v>
      </c>
      <c r="H702" s="184" t="s">
        <v>112</v>
      </c>
      <c r="I702" s="184" t="s">
        <v>294</v>
      </c>
      <c r="J702" s="184" t="s">
        <v>347</v>
      </c>
      <c r="K702" s="184" t="s">
        <v>295</v>
      </c>
      <c r="L702" s="185">
        <v>1</v>
      </c>
      <c r="M702" s="186">
        <v>1347.86</v>
      </c>
      <c r="N702" s="186">
        <v>0</v>
      </c>
      <c r="O702" s="125">
        <f t="shared" si="55"/>
        <v>1347.86</v>
      </c>
      <c r="P702" s="125"/>
      <c r="Q702" s="73">
        <f t="shared" si="59"/>
        <v>153.79082600000001</v>
      </c>
    </row>
    <row r="703" spans="1:17" ht="14.5" x14ac:dyDescent="0.35">
      <c r="A703" s="184" t="s">
        <v>155</v>
      </c>
      <c r="B703" s="184" t="s">
        <v>414</v>
      </c>
      <c r="C703" s="184" t="s">
        <v>177</v>
      </c>
      <c r="D703" s="185" t="s">
        <v>287</v>
      </c>
      <c r="E703" s="185">
        <v>16537</v>
      </c>
      <c r="F703" s="185" t="s">
        <v>149</v>
      </c>
      <c r="G703" s="184">
        <v>102003</v>
      </c>
      <c r="H703" s="184" t="s">
        <v>110</v>
      </c>
      <c r="I703" s="184" t="s">
        <v>294</v>
      </c>
      <c r="J703" s="184" t="s">
        <v>295</v>
      </c>
      <c r="K703" s="184" t="s">
        <v>295</v>
      </c>
      <c r="L703" s="185">
        <v>1</v>
      </c>
      <c r="M703" s="186">
        <v>43976.53</v>
      </c>
      <c r="N703" s="186">
        <v>93000</v>
      </c>
      <c r="O703" s="125">
        <f t="shared" si="55"/>
        <v>-49023.47</v>
      </c>
      <c r="P703" s="125"/>
      <c r="Q703" s="73">
        <f t="shared" si="59"/>
        <v>5017.7220729999999</v>
      </c>
    </row>
    <row r="704" spans="1:17" ht="14.5" x14ac:dyDescent="0.35">
      <c r="A704" s="184" t="s">
        <v>155</v>
      </c>
      <c r="B704" s="184" t="s">
        <v>414</v>
      </c>
      <c r="C704" s="184" t="s">
        <v>177</v>
      </c>
      <c r="D704" s="185" t="s">
        <v>287</v>
      </c>
      <c r="E704" s="185">
        <v>16538</v>
      </c>
      <c r="F704" s="185" t="s">
        <v>149</v>
      </c>
      <c r="G704" s="184">
        <v>102003</v>
      </c>
      <c r="H704" s="184" t="s">
        <v>110</v>
      </c>
      <c r="I704" s="184" t="s">
        <v>294</v>
      </c>
      <c r="J704" s="184" t="s">
        <v>349</v>
      </c>
      <c r="K704" s="184" t="s">
        <v>295</v>
      </c>
      <c r="L704" s="185">
        <v>1</v>
      </c>
      <c r="M704" s="186">
        <v>110539.47</v>
      </c>
      <c r="N704" s="186">
        <v>5000</v>
      </c>
      <c r="O704" s="125">
        <f t="shared" si="55"/>
        <v>105539.47</v>
      </c>
      <c r="P704" s="125"/>
      <c r="Q704" s="73">
        <f t="shared" si="59"/>
        <v>12612.553527</v>
      </c>
    </row>
    <row r="705" spans="1:17" ht="14.5" x14ac:dyDescent="0.35">
      <c r="A705" s="184" t="s">
        <v>155</v>
      </c>
      <c r="B705" s="184" t="s">
        <v>414</v>
      </c>
      <c r="C705" s="184" t="s">
        <v>177</v>
      </c>
      <c r="D705" s="185" t="s">
        <v>287</v>
      </c>
      <c r="E705" s="185">
        <v>16539</v>
      </c>
      <c r="F705" s="185" t="s">
        <v>149</v>
      </c>
      <c r="G705" s="184">
        <v>102005</v>
      </c>
      <c r="H705" s="184" t="s">
        <v>116</v>
      </c>
      <c r="I705" s="184" t="s">
        <v>294</v>
      </c>
      <c r="J705" s="184" t="s">
        <v>295</v>
      </c>
      <c r="K705" s="184" t="s">
        <v>295</v>
      </c>
      <c r="L705" s="185">
        <v>1</v>
      </c>
      <c r="M705" s="186">
        <v>19725.560000000001</v>
      </c>
      <c r="N705" s="186">
        <v>0</v>
      </c>
      <c r="O705" s="125">
        <f t="shared" si="55"/>
        <v>19725.560000000001</v>
      </c>
      <c r="P705" s="125"/>
      <c r="Q705" s="73">
        <f t="shared" si="59"/>
        <v>2250.6863960000005</v>
      </c>
    </row>
    <row r="706" spans="1:17" ht="14.5" x14ac:dyDescent="0.35">
      <c r="A706" s="184" t="s">
        <v>155</v>
      </c>
      <c r="B706" s="184" t="s">
        <v>414</v>
      </c>
      <c r="C706" s="184" t="s">
        <v>177</v>
      </c>
      <c r="D706" s="185" t="s">
        <v>287</v>
      </c>
      <c r="E706" s="185">
        <v>16540</v>
      </c>
      <c r="F706" s="185" t="s">
        <v>149</v>
      </c>
      <c r="G706" s="184">
        <v>102005</v>
      </c>
      <c r="H706" s="184" t="s">
        <v>116</v>
      </c>
      <c r="I706" s="184" t="s">
        <v>294</v>
      </c>
      <c r="J706" s="184" t="s">
        <v>349</v>
      </c>
      <c r="K706" s="184" t="s">
        <v>295</v>
      </c>
      <c r="L706" s="185">
        <v>1</v>
      </c>
      <c r="M706" s="186">
        <v>5610.28</v>
      </c>
      <c r="N706" s="186">
        <v>0</v>
      </c>
      <c r="O706" s="125">
        <f t="shared" si="55"/>
        <v>5610.28</v>
      </c>
      <c r="P706" s="125"/>
      <c r="Q706" s="73">
        <f t="shared" si="59"/>
        <v>640.13294800000006</v>
      </c>
    </row>
    <row r="707" spans="1:17" ht="14.5" x14ac:dyDescent="0.35">
      <c r="A707" s="184" t="s">
        <v>155</v>
      </c>
      <c r="B707" s="184" t="s">
        <v>414</v>
      </c>
      <c r="C707" s="184" t="s">
        <v>177</v>
      </c>
      <c r="D707" s="185" t="s">
        <v>287</v>
      </c>
      <c r="E707" s="185">
        <v>16541</v>
      </c>
      <c r="F707" s="185" t="s">
        <v>149</v>
      </c>
      <c r="G707" s="184">
        <v>102062</v>
      </c>
      <c r="H707" s="184" t="s">
        <v>117</v>
      </c>
      <c r="I707" s="184" t="s">
        <v>294</v>
      </c>
      <c r="J707" s="184" t="s">
        <v>295</v>
      </c>
      <c r="K707" s="184" t="s">
        <v>295</v>
      </c>
      <c r="L707" s="185">
        <v>1</v>
      </c>
      <c r="M707" s="186">
        <v>5658.69</v>
      </c>
      <c r="N707" s="186">
        <v>0</v>
      </c>
      <c r="O707" s="125">
        <f t="shared" si="55"/>
        <v>5658.69</v>
      </c>
      <c r="P707" s="125"/>
      <c r="Q707" s="73">
        <f t="shared" si="59"/>
        <v>645.65652900000009</v>
      </c>
    </row>
    <row r="708" spans="1:17" ht="14.5" x14ac:dyDescent="0.35">
      <c r="A708" s="184" t="s">
        <v>155</v>
      </c>
      <c r="B708" s="184" t="s">
        <v>414</v>
      </c>
      <c r="C708" s="184" t="s">
        <v>177</v>
      </c>
      <c r="D708" s="185" t="s">
        <v>287</v>
      </c>
      <c r="E708" s="185">
        <v>16542</v>
      </c>
      <c r="F708" s="185" t="s">
        <v>149</v>
      </c>
      <c r="G708" s="184">
        <v>103001</v>
      </c>
      <c r="H708" s="184" t="s">
        <v>113</v>
      </c>
      <c r="I708" s="184" t="s">
        <v>294</v>
      </c>
      <c r="J708" s="184" t="s">
        <v>295</v>
      </c>
      <c r="K708" s="184" t="s">
        <v>295</v>
      </c>
      <c r="L708" s="185">
        <v>1</v>
      </c>
      <c r="M708" s="186">
        <v>182316.11</v>
      </c>
      <c r="N708" s="186">
        <v>0</v>
      </c>
      <c r="O708" s="125">
        <f t="shared" si="55"/>
        <v>182316.11</v>
      </c>
      <c r="P708" s="125"/>
      <c r="Q708" s="73">
        <f t="shared" si="59"/>
        <v>20802.268151</v>
      </c>
    </row>
    <row r="709" spans="1:17" ht="14.5" x14ac:dyDescent="0.35">
      <c r="A709" s="184" t="s">
        <v>155</v>
      </c>
      <c r="B709" s="184" t="s">
        <v>414</v>
      </c>
      <c r="C709" s="184" t="s">
        <v>177</v>
      </c>
      <c r="D709" s="185" t="s">
        <v>287</v>
      </c>
      <c r="E709" s="185">
        <v>16543</v>
      </c>
      <c r="F709" s="185" t="s">
        <v>149</v>
      </c>
      <c r="G709" s="184">
        <v>103001</v>
      </c>
      <c r="H709" s="184" t="s">
        <v>113</v>
      </c>
      <c r="I709" s="184" t="s">
        <v>294</v>
      </c>
      <c r="J709" s="184" t="s">
        <v>349</v>
      </c>
      <c r="K709" s="184" t="s">
        <v>295</v>
      </c>
      <c r="L709" s="185">
        <v>1</v>
      </c>
      <c r="M709" s="186">
        <v>77391.899999999994</v>
      </c>
      <c r="N709" s="186">
        <v>0</v>
      </c>
      <c r="O709" s="125">
        <f t="shared" si="55"/>
        <v>77391.899999999994</v>
      </c>
      <c r="P709" s="125"/>
      <c r="Q709" s="73">
        <f t="shared" si="59"/>
        <v>8830.4157899999991</v>
      </c>
    </row>
    <row r="710" spans="1:17" ht="14.5" x14ac:dyDescent="0.35">
      <c r="A710" s="184" t="s">
        <v>155</v>
      </c>
      <c r="B710" s="184" t="s">
        <v>414</v>
      </c>
      <c r="C710" s="184" t="s">
        <v>177</v>
      </c>
      <c r="D710" s="185" t="s">
        <v>287</v>
      </c>
      <c r="E710" s="185">
        <v>16544</v>
      </c>
      <c r="F710" s="185" t="s">
        <v>149</v>
      </c>
      <c r="G710" s="184">
        <v>103001</v>
      </c>
      <c r="H710" s="184" t="s">
        <v>113</v>
      </c>
      <c r="I710" s="184" t="s">
        <v>294</v>
      </c>
      <c r="J710" s="184" t="s">
        <v>350</v>
      </c>
      <c r="K710" s="184" t="s">
        <v>295</v>
      </c>
      <c r="L710" s="185">
        <v>1</v>
      </c>
      <c r="M710" s="186">
        <v>0</v>
      </c>
      <c r="N710" s="186">
        <v>0</v>
      </c>
      <c r="O710" s="125">
        <f t="shared" si="55"/>
        <v>0</v>
      </c>
      <c r="P710" s="125"/>
      <c r="Q710" s="73">
        <f t="shared" si="59"/>
        <v>0</v>
      </c>
    </row>
    <row r="711" spans="1:17" ht="14.5" x14ac:dyDescent="0.35">
      <c r="A711" s="184" t="s">
        <v>155</v>
      </c>
      <c r="B711" s="184" t="s">
        <v>414</v>
      </c>
      <c r="C711" s="184" t="s">
        <v>177</v>
      </c>
      <c r="D711" s="185" t="s">
        <v>287</v>
      </c>
      <c r="E711" s="185">
        <v>16545</v>
      </c>
      <c r="F711" s="185" t="s">
        <v>149</v>
      </c>
      <c r="G711" s="184">
        <v>103001</v>
      </c>
      <c r="H711" s="184" t="s">
        <v>113</v>
      </c>
      <c r="I711" s="184" t="s">
        <v>294</v>
      </c>
      <c r="J711" s="184" t="s">
        <v>347</v>
      </c>
      <c r="K711" s="184" t="s">
        <v>295</v>
      </c>
      <c r="L711" s="185">
        <v>1</v>
      </c>
      <c r="M711" s="186">
        <v>34026.53</v>
      </c>
      <c r="N711" s="186">
        <v>0</v>
      </c>
      <c r="O711" s="125">
        <f t="shared" si="55"/>
        <v>34026.53</v>
      </c>
      <c r="P711" s="125"/>
      <c r="Q711" s="73">
        <f t="shared" si="59"/>
        <v>3882.4270730000003</v>
      </c>
    </row>
    <row r="712" spans="1:17" ht="14.5" x14ac:dyDescent="0.35">
      <c r="A712" s="184" t="s">
        <v>155</v>
      </c>
      <c r="B712" s="184" t="s">
        <v>414</v>
      </c>
      <c r="C712" s="184" t="s">
        <v>177</v>
      </c>
      <c r="D712" s="185" t="s">
        <v>287</v>
      </c>
      <c r="E712" s="185">
        <v>16546</v>
      </c>
      <c r="F712" s="185" t="s">
        <v>149</v>
      </c>
      <c r="G712" s="184">
        <v>103062</v>
      </c>
      <c r="H712" s="184" t="s">
        <v>118</v>
      </c>
      <c r="I712" s="184" t="s">
        <v>294</v>
      </c>
      <c r="J712" s="184" t="s">
        <v>295</v>
      </c>
      <c r="K712" s="184" t="s">
        <v>295</v>
      </c>
      <c r="L712" s="185">
        <v>1</v>
      </c>
      <c r="M712" s="186">
        <v>94.08</v>
      </c>
      <c r="N712" s="186">
        <v>0</v>
      </c>
      <c r="O712" s="125">
        <f t="shared" ref="O712:O775" si="60">M712-N712</f>
        <v>94.08</v>
      </c>
      <c r="P712" s="125"/>
      <c r="Q712" s="73">
        <f t="shared" si="59"/>
        <v>10.734527999999999</v>
      </c>
    </row>
    <row r="713" spans="1:17" ht="14.5" x14ac:dyDescent="0.35">
      <c r="A713" s="184" t="s">
        <v>155</v>
      </c>
      <c r="B713" s="184" t="s">
        <v>414</v>
      </c>
      <c r="C713" s="184" t="s">
        <v>177</v>
      </c>
      <c r="D713" s="185" t="s">
        <v>287</v>
      </c>
      <c r="E713" s="185">
        <v>16547</v>
      </c>
      <c r="F713" s="185" t="s">
        <v>149</v>
      </c>
      <c r="G713" s="184">
        <v>103069</v>
      </c>
      <c r="H713" s="184" t="s">
        <v>225</v>
      </c>
      <c r="I713" s="184" t="s">
        <v>294</v>
      </c>
      <c r="J713" s="184" t="s">
        <v>295</v>
      </c>
      <c r="K713" s="184" t="s">
        <v>295</v>
      </c>
      <c r="L713" s="185">
        <v>1</v>
      </c>
      <c r="M713" s="186">
        <v>23365.4</v>
      </c>
      <c r="N713" s="186">
        <v>0</v>
      </c>
      <c r="O713" s="125">
        <f t="shared" si="60"/>
        <v>23365.4</v>
      </c>
      <c r="P713" s="125"/>
      <c r="Q713" s="73">
        <f t="shared" si="59"/>
        <v>2665.9921400000003</v>
      </c>
    </row>
    <row r="714" spans="1:17" ht="14.5" x14ac:dyDescent="0.35">
      <c r="A714" s="184" t="s">
        <v>155</v>
      </c>
      <c r="B714" s="184" t="s">
        <v>414</v>
      </c>
      <c r="C714" s="184" t="s">
        <v>177</v>
      </c>
      <c r="D714" s="185" t="s">
        <v>287</v>
      </c>
      <c r="E714" s="185">
        <v>16548</v>
      </c>
      <c r="F714" s="185" t="s">
        <v>149</v>
      </c>
      <c r="G714" s="184">
        <v>103069</v>
      </c>
      <c r="H714" s="184" t="s">
        <v>225</v>
      </c>
      <c r="I714" s="184" t="s">
        <v>294</v>
      </c>
      <c r="J714" s="184" t="s">
        <v>349</v>
      </c>
      <c r="K714" s="184" t="s">
        <v>295</v>
      </c>
      <c r="L714" s="185">
        <v>1</v>
      </c>
      <c r="M714" s="186">
        <v>1453.2</v>
      </c>
      <c r="N714" s="186">
        <v>0</v>
      </c>
      <c r="O714" s="125">
        <f t="shared" si="60"/>
        <v>1453.2</v>
      </c>
      <c r="P714" s="125"/>
      <c r="Q714" s="73">
        <f t="shared" si="59"/>
        <v>165.81012000000004</v>
      </c>
    </row>
    <row r="715" spans="1:17" ht="14.5" x14ac:dyDescent="0.35">
      <c r="A715" s="184" t="s">
        <v>155</v>
      </c>
      <c r="B715" s="184" t="s">
        <v>414</v>
      </c>
      <c r="C715" s="184" t="s">
        <v>177</v>
      </c>
      <c r="D715" s="185" t="s">
        <v>287</v>
      </c>
      <c r="E715" s="185">
        <v>16549</v>
      </c>
      <c r="F715" s="185" t="s">
        <v>149</v>
      </c>
      <c r="G715" s="184">
        <v>104000</v>
      </c>
      <c r="H715" s="184" t="s">
        <v>114</v>
      </c>
      <c r="I715" s="184" t="s">
        <v>294</v>
      </c>
      <c r="J715" s="184" t="s">
        <v>295</v>
      </c>
      <c r="K715" s="184" t="s">
        <v>295</v>
      </c>
      <c r="L715" s="185">
        <v>1</v>
      </c>
      <c r="M715" s="186">
        <v>23522.28</v>
      </c>
      <c r="N715" s="186">
        <v>31000</v>
      </c>
      <c r="O715" s="125">
        <f t="shared" si="60"/>
        <v>-7477.7200000000012</v>
      </c>
      <c r="P715" s="125"/>
      <c r="Q715" s="73">
        <f t="shared" si="59"/>
        <v>2683.8921479999999</v>
      </c>
    </row>
    <row r="716" spans="1:17" ht="14.5" x14ac:dyDescent="0.35">
      <c r="A716" s="184" t="s">
        <v>155</v>
      </c>
      <c r="B716" s="184" t="s">
        <v>414</v>
      </c>
      <c r="C716" s="184" t="s">
        <v>177</v>
      </c>
      <c r="D716" s="185" t="s">
        <v>287</v>
      </c>
      <c r="E716" s="185">
        <v>16550</v>
      </c>
      <c r="F716" s="185" t="s">
        <v>149</v>
      </c>
      <c r="G716" s="184">
        <v>104000</v>
      </c>
      <c r="H716" s="184" t="s">
        <v>114</v>
      </c>
      <c r="I716" s="184" t="s">
        <v>294</v>
      </c>
      <c r="J716" s="184" t="s">
        <v>349</v>
      </c>
      <c r="K716" s="184" t="s">
        <v>295</v>
      </c>
      <c r="L716" s="185">
        <v>1</v>
      </c>
      <c r="M716" s="186">
        <v>53350.87</v>
      </c>
      <c r="N716" s="186">
        <v>63000</v>
      </c>
      <c r="O716" s="125">
        <f t="shared" si="60"/>
        <v>-9649.1299999999974</v>
      </c>
      <c r="P716" s="125"/>
      <c r="Q716" s="73">
        <f t="shared" si="59"/>
        <v>6087.3342670000002</v>
      </c>
    </row>
    <row r="717" spans="1:17" ht="14.5" x14ac:dyDescent="0.35">
      <c r="A717" s="184" t="s">
        <v>155</v>
      </c>
      <c r="B717" s="184" t="s">
        <v>414</v>
      </c>
      <c r="C717" s="184" t="s">
        <v>177</v>
      </c>
      <c r="D717" s="185" t="s">
        <v>287</v>
      </c>
      <c r="E717" s="185">
        <v>16551</v>
      </c>
      <c r="F717" s="185" t="s">
        <v>149</v>
      </c>
      <c r="G717" s="184">
        <v>105003</v>
      </c>
      <c r="H717" s="184" t="s">
        <v>317</v>
      </c>
      <c r="I717" s="184" t="s">
        <v>294</v>
      </c>
      <c r="J717" s="184" t="s">
        <v>295</v>
      </c>
      <c r="K717" s="184" t="s">
        <v>295</v>
      </c>
      <c r="L717" s="185">
        <v>1</v>
      </c>
      <c r="M717" s="186">
        <v>101404.52</v>
      </c>
      <c r="N717" s="186">
        <v>0</v>
      </c>
      <c r="O717" s="125">
        <f t="shared" si="60"/>
        <v>101404.52</v>
      </c>
      <c r="P717" s="125"/>
      <c r="Q717" s="73">
        <f t="shared" si="59"/>
        <v>11570.255732000001</v>
      </c>
    </row>
    <row r="718" spans="1:17" ht="14.5" x14ac:dyDescent="0.35">
      <c r="A718" s="184" t="s">
        <v>155</v>
      </c>
      <c r="B718" s="184" t="s">
        <v>414</v>
      </c>
      <c r="C718" s="184" t="s">
        <v>177</v>
      </c>
      <c r="D718" s="185" t="s">
        <v>287</v>
      </c>
      <c r="E718" s="185">
        <v>16552</v>
      </c>
      <c r="F718" s="185" t="s">
        <v>149</v>
      </c>
      <c r="G718" s="184">
        <v>105010</v>
      </c>
      <c r="H718" s="184" t="s">
        <v>124</v>
      </c>
      <c r="I718" s="184" t="s">
        <v>294</v>
      </c>
      <c r="J718" s="184" t="s">
        <v>295</v>
      </c>
      <c r="K718" s="184" t="s">
        <v>295</v>
      </c>
      <c r="L718" s="185">
        <v>1</v>
      </c>
      <c r="M718" s="186">
        <v>5551.22</v>
      </c>
      <c r="N718" s="186">
        <v>0</v>
      </c>
      <c r="O718" s="125">
        <f t="shared" si="60"/>
        <v>5551.22</v>
      </c>
      <c r="P718" s="125"/>
      <c r="Q718" s="73">
        <f t="shared" si="59"/>
        <v>633.39420200000006</v>
      </c>
    </row>
    <row r="719" spans="1:17" ht="14.5" x14ac:dyDescent="0.35">
      <c r="A719" s="184" t="s">
        <v>155</v>
      </c>
      <c r="B719" s="184" t="s">
        <v>414</v>
      </c>
      <c r="C719" s="184" t="s">
        <v>177</v>
      </c>
      <c r="D719" s="185" t="s">
        <v>287</v>
      </c>
      <c r="E719" s="185">
        <v>16553</v>
      </c>
      <c r="F719" s="185" t="s">
        <v>149</v>
      </c>
      <c r="G719" s="184">
        <v>105010</v>
      </c>
      <c r="H719" s="184" t="s">
        <v>124</v>
      </c>
      <c r="I719" s="184" t="s">
        <v>294</v>
      </c>
      <c r="J719" s="184" t="s">
        <v>349</v>
      </c>
      <c r="K719" s="184" t="s">
        <v>295</v>
      </c>
      <c r="L719" s="185">
        <v>1</v>
      </c>
      <c r="M719" s="186">
        <v>9412.1299999999992</v>
      </c>
      <c r="N719" s="186">
        <v>0</v>
      </c>
      <c r="O719" s="125">
        <f t="shared" si="60"/>
        <v>9412.1299999999992</v>
      </c>
      <c r="P719" s="125"/>
      <c r="Q719" s="73">
        <f t="shared" si="59"/>
        <v>1073.924033</v>
      </c>
    </row>
    <row r="720" spans="1:17" ht="14.5" x14ac:dyDescent="0.35">
      <c r="A720" s="184" t="s">
        <v>155</v>
      </c>
      <c r="B720" s="184" t="s">
        <v>414</v>
      </c>
      <c r="C720" s="184" t="s">
        <v>177</v>
      </c>
      <c r="D720" s="185" t="s">
        <v>287</v>
      </c>
      <c r="E720" s="185">
        <v>16554</v>
      </c>
      <c r="F720" s="185" t="s">
        <v>149</v>
      </c>
      <c r="G720" s="184">
        <v>105098</v>
      </c>
      <c r="H720" s="184" t="s">
        <v>314</v>
      </c>
      <c r="I720" s="184" t="s">
        <v>294</v>
      </c>
      <c r="J720" s="184" t="s">
        <v>391</v>
      </c>
      <c r="K720" s="184" t="s">
        <v>295</v>
      </c>
      <c r="L720" s="185">
        <v>1</v>
      </c>
      <c r="M720" s="186">
        <v>-4392</v>
      </c>
      <c r="N720" s="186">
        <v>0</v>
      </c>
      <c r="O720" s="125">
        <f t="shared" si="60"/>
        <v>-4392</v>
      </c>
      <c r="P720" s="125"/>
      <c r="Q720" s="73">
        <f t="shared" si="59"/>
        <v>-501.12720000000007</v>
      </c>
    </row>
    <row r="721" spans="1:17" ht="14.5" x14ac:dyDescent="0.35">
      <c r="A721" s="184" t="s">
        <v>155</v>
      </c>
      <c r="B721" s="184" t="s">
        <v>414</v>
      </c>
      <c r="C721" s="184" t="s">
        <v>177</v>
      </c>
      <c r="D721" s="185" t="s">
        <v>287</v>
      </c>
      <c r="E721" s="185">
        <v>16555</v>
      </c>
      <c r="F721" s="185" t="s">
        <v>149</v>
      </c>
      <c r="G721" s="184">
        <v>105099</v>
      </c>
      <c r="H721" s="184" t="s">
        <v>107</v>
      </c>
      <c r="I721" s="184" t="s">
        <v>294</v>
      </c>
      <c r="J721" s="184" t="s">
        <v>392</v>
      </c>
      <c r="K721" s="184" t="s">
        <v>295</v>
      </c>
      <c r="L721" s="185">
        <v>1</v>
      </c>
      <c r="M721" s="186">
        <v>4392</v>
      </c>
      <c r="N721" s="186">
        <v>0</v>
      </c>
      <c r="O721" s="125">
        <f t="shared" si="60"/>
        <v>4392</v>
      </c>
      <c r="P721" s="125"/>
      <c r="Q721" s="73">
        <f t="shared" si="59"/>
        <v>501.12720000000007</v>
      </c>
    </row>
    <row r="722" spans="1:17" ht="14.5" x14ac:dyDescent="0.35">
      <c r="A722" s="184" t="s">
        <v>155</v>
      </c>
      <c r="B722" s="184" t="s">
        <v>414</v>
      </c>
      <c r="C722" s="184" t="s">
        <v>177</v>
      </c>
      <c r="D722" s="185" t="s">
        <v>287</v>
      </c>
      <c r="E722" s="185">
        <v>16556</v>
      </c>
      <c r="F722" s="185" t="s">
        <v>149</v>
      </c>
      <c r="G722" s="189">
        <v>109001</v>
      </c>
      <c r="H722" s="184" t="s">
        <v>105</v>
      </c>
      <c r="I722" s="184" t="s">
        <v>294</v>
      </c>
      <c r="J722" s="184" t="s">
        <v>295</v>
      </c>
      <c r="K722" s="184" t="s">
        <v>295</v>
      </c>
      <c r="L722" s="185">
        <v>1</v>
      </c>
      <c r="M722" s="186">
        <v>440447.19</v>
      </c>
      <c r="N722" s="186">
        <v>428000</v>
      </c>
      <c r="O722" s="125">
        <f t="shared" si="60"/>
        <v>12447.190000000002</v>
      </c>
      <c r="P722" s="164">
        <f t="shared" ref="P722:P725" si="61">M722*-1</f>
        <v>-440447.19</v>
      </c>
    </row>
    <row r="723" spans="1:17" ht="14.5" x14ac:dyDescent="0.35">
      <c r="A723" s="184" t="s">
        <v>155</v>
      </c>
      <c r="B723" s="184" t="s">
        <v>414</v>
      </c>
      <c r="C723" s="184" t="s">
        <v>177</v>
      </c>
      <c r="D723" s="185" t="s">
        <v>287</v>
      </c>
      <c r="E723" s="185">
        <v>16557</v>
      </c>
      <c r="F723" s="185" t="s">
        <v>149</v>
      </c>
      <c r="G723" s="189">
        <v>109001</v>
      </c>
      <c r="H723" s="184" t="s">
        <v>105</v>
      </c>
      <c r="I723" s="184" t="s">
        <v>294</v>
      </c>
      <c r="J723" s="184" t="s">
        <v>349</v>
      </c>
      <c r="K723" s="184" t="s">
        <v>295</v>
      </c>
      <c r="L723" s="185">
        <v>1</v>
      </c>
      <c r="M723" s="186">
        <v>19866.169999999998</v>
      </c>
      <c r="N723" s="186">
        <v>19000</v>
      </c>
      <c r="O723" s="125">
        <f t="shared" si="60"/>
        <v>866.16999999999825</v>
      </c>
      <c r="P723" s="164">
        <f t="shared" si="61"/>
        <v>-19866.169999999998</v>
      </c>
    </row>
    <row r="724" spans="1:17" ht="14.5" x14ac:dyDescent="0.35">
      <c r="A724" s="184" t="s">
        <v>155</v>
      </c>
      <c r="B724" s="184" t="s">
        <v>414</v>
      </c>
      <c r="C724" s="184" t="s">
        <v>177</v>
      </c>
      <c r="D724" s="185" t="s">
        <v>287</v>
      </c>
      <c r="E724" s="185">
        <v>16558</v>
      </c>
      <c r="F724" s="185" t="s">
        <v>149</v>
      </c>
      <c r="G724" s="189">
        <v>109001</v>
      </c>
      <c r="H724" s="184" t="s">
        <v>105</v>
      </c>
      <c r="I724" s="184" t="s">
        <v>294</v>
      </c>
      <c r="J724" s="184" t="s">
        <v>350</v>
      </c>
      <c r="K724" s="184" t="s">
        <v>295</v>
      </c>
      <c r="L724" s="185">
        <v>1</v>
      </c>
      <c r="M724" s="186">
        <v>0</v>
      </c>
      <c r="N724" s="186">
        <v>0</v>
      </c>
      <c r="O724" s="125">
        <f t="shared" si="60"/>
        <v>0</v>
      </c>
      <c r="P724" s="164">
        <f t="shared" si="61"/>
        <v>0</v>
      </c>
    </row>
    <row r="725" spans="1:17" ht="14.5" x14ac:dyDescent="0.35">
      <c r="A725" s="184" t="s">
        <v>155</v>
      </c>
      <c r="B725" s="184" t="s">
        <v>414</v>
      </c>
      <c r="C725" s="184" t="s">
        <v>177</v>
      </c>
      <c r="D725" s="185" t="s">
        <v>287</v>
      </c>
      <c r="E725" s="185">
        <v>16559</v>
      </c>
      <c r="F725" s="185" t="s">
        <v>149</v>
      </c>
      <c r="G725" s="189">
        <v>109001</v>
      </c>
      <c r="H725" s="184" t="s">
        <v>105</v>
      </c>
      <c r="I725" s="184" t="s">
        <v>294</v>
      </c>
      <c r="J725" s="184" t="s">
        <v>347</v>
      </c>
      <c r="K725" s="184" t="s">
        <v>295</v>
      </c>
      <c r="L725" s="185">
        <v>1</v>
      </c>
      <c r="M725" s="186">
        <v>4011.85</v>
      </c>
      <c r="N725" s="186">
        <v>0</v>
      </c>
      <c r="O725" s="125">
        <f t="shared" si="60"/>
        <v>4011.85</v>
      </c>
      <c r="P725" s="164">
        <f t="shared" si="61"/>
        <v>-4011.85</v>
      </c>
    </row>
    <row r="726" spans="1:17" ht="14.5" x14ac:dyDescent="0.35">
      <c r="A726" s="184" t="s">
        <v>155</v>
      </c>
      <c r="B726" s="184" t="s">
        <v>414</v>
      </c>
      <c r="C726" s="184" t="s">
        <v>177</v>
      </c>
      <c r="D726" s="185" t="s">
        <v>287</v>
      </c>
      <c r="E726" s="185">
        <v>16560</v>
      </c>
      <c r="F726" s="185" t="s">
        <v>149</v>
      </c>
      <c r="G726" s="189">
        <v>109901</v>
      </c>
      <c r="H726" s="184" t="s">
        <v>106</v>
      </c>
      <c r="I726" s="184" t="s">
        <v>294</v>
      </c>
      <c r="J726" s="184" t="s">
        <v>295</v>
      </c>
      <c r="K726" s="184" t="s">
        <v>295</v>
      </c>
      <c r="L726" s="185">
        <v>1</v>
      </c>
      <c r="M726" s="186">
        <v>662605.21</v>
      </c>
      <c r="N726" s="186">
        <v>665000</v>
      </c>
      <c r="O726" s="125">
        <f t="shared" si="60"/>
        <v>-2394.7900000000373</v>
      </c>
      <c r="P726" s="164"/>
    </row>
    <row r="727" spans="1:17" ht="14.5" x14ac:dyDescent="0.35">
      <c r="A727" s="184" t="s">
        <v>155</v>
      </c>
      <c r="B727" s="184" t="s">
        <v>414</v>
      </c>
      <c r="C727" s="184" t="s">
        <v>177</v>
      </c>
      <c r="D727" s="185" t="s">
        <v>287</v>
      </c>
      <c r="E727" s="185">
        <v>16561</v>
      </c>
      <c r="F727" s="185" t="s">
        <v>149</v>
      </c>
      <c r="G727" s="189">
        <v>109901</v>
      </c>
      <c r="H727" s="184" t="s">
        <v>106</v>
      </c>
      <c r="I727" s="184" t="s">
        <v>294</v>
      </c>
      <c r="J727" s="184" t="s">
        <v>349</v>
      </c>
      <c r="K727" s="184" t="s">
        <v>295</v>
      </c>
      <c r="L727" s="185">
        <v>1</v>
      </c>
      <c r="M727" s="186">
        <v>39877.69</v>
      </c>
      <c r="N727" s="186">
        <v>39000</v>
      </c>
      <c r="O727" s="125">
        <f t="shared" si="60"/>
        <v>877.69000000000233</v>
      </c>
      <c r="P727" s="164"/>
    </row>
    <row r="728" spans="1:17" ht="14.5" x14ac:dyDescent="0.35">
      <c r="A728" s="184" t="s">
        <v>155</v>
      </c>
      <c r="B728" s="184" t="s">
        <v>414</v>
      </c>
      <c r="C728" s="184" t="s">
        <v>177</v>
      </c>
      <c r="D728" s="185" t="s">
        <v>287</v>
      </c>
      <c r="E728" s="185">
        <v>16562</v>
      </c>
      <c r="F728" s="185" t="s">
        <v>149</v>
      </c>
      <c r="G728" s="189">
        <v>109901</v>
      </c>
      <c r="H728" s="184" t="s">
        <v>106</v>
      </c>
      <c r="I728" s="184" t="s">
        <v>294</v>
      </c>
      <c r="J728" s="184" t="s">
        <v>392</v>
      </c>
      <c r="K728" s="184" t="s">
        <v>295</v>
      </c>
      <c r="L728" s="185">
        <v>1</v>
      </c>
      <c r="M728" s="186">
        <v>619.32000000000005</v>
      </c>
      <c r="N728" s="186">
        <v>0</v>
      </c>
      <c r="O728" s="125">
        <f t="shared" si="60"/>
        <v>619.32000000000005</v>
      </c>
      <c r="P728" s="164"/>
    </row>
    <row r="729" spans="1:17" ht="14.5" x14ac:dyDescent="0.35">
      <c r="A729" s="184" t="s">
        <v>155</v>
      </c>
      <c r="B729" s="184" t="s">
        <v>414</v>
      </c>
      <c r="C729" s="184" t="s">
        <v>177</v>
      </c>
      <c r="D729" s="185" t="s">
        <v>287</v>
      </c>
      <c r="E729" s="185">
        <v>16563</v>
      </c>
      <c r="F729" s="185" t="s">
        <v>149</v>
      </c>
      <c r="G729" s="189">
        <v>109901</v>
      </c>
      <c r="H729" s="184" t="s">
        <v>106</v>
      </c>
      <c r="I729" s="184" t="s">
        <v>294</v>
      </c>
      <c r="J729" s="184" t="s">
        <v>350</v>
      </c>
      <c r="K729" s="184" t="s">
        <v>295</v>
      </c>
      <c r="L729" s="185">
        <v>1</v>
      </c>
      <c r="M729" s="186">
        <v>0</v>
      </c>
      <c r="N729" s="186">
        <v>0</v>
      </c>
      <c r="O729" s="125">
        <f t="shared" si="60"/>
        <v>0</v>
      </c>
      <c r="P729" s="164"/>
    </row>
    <row r="730" spans="1:17" ht="14.5" x14ac:dyDescent="0.35">
      <c r="A730" s="184" t="s">
        <v>155</v>
      </c>
      <c r="B730" s="184" t="s">
        <v>414</v>
      </c>
      <c r="C730" s="184" t="s">
        <v>177</v>
      </c>
      <c r="D730" s="185" t="s">
        <v>287</v>
      </c>
      <c r="E730" s="185">
        <v>16564</v>
      </c>
      <c r="F730" s="185" t="s">
        <v>149</v>
      </c>
      <c r="G730" s="189">
        <v>109901</v>
      </c>
      <c r="H730" s="184" t="s">
        <v>106</v>
      </c>
      <c r="I730" s="184" t="s">
        <v>294</v>
      </c>
      <c r="J730" s="184" t="s">
        <v>347</v>
      </c>
      <c r="K730" s="184" t="s">
        <v>295</v>
      </c>
      <c r="L730" s="185">
        <v>1</v>
      </c>
      <c r="M730" s="186">
        <v>6438.82</v>
      </c>
      <c r="N730" s="186">
        <v>0</v>
      </c>
      <c r="O730" s="125">
        <f t="shared" si="60"/>
        <v>6438.82</v>
      </c>
      <c r="P730" s="164"/>
    </row>
    <row r="731" spans="1:17" ht="14.5" x14ac:dyDescent="0.35">
      <c r="A731" s="184" t="s">
        <v>155</v>
      </c>
      <c r="B731" s="184" t="s">
        <v>415</v>
      </c>
      <c r="C731" s="184" t="s">
        <v>71</v>
      </c>
      <c r="D731" s="185" t="s">
        <v>287</v>
      </c>
      <c r="E731" s="185">
        <v>16650</v>
      </c>
      <c r="F731" s="185" t="s">
        <v>149</v>
      </c>
      <c r="G731" s="184">
        <v>101001</v>
      </c>
      <c r="H731" s="184" t="s">
        <v>108</v>
      </c>
      <c r="I731" s="184" t="s">
        <v>294</v>
      </c>
      <c r="J731" s="184" t="s">
        <v>295</v>
      </c>
      <c r="K731" s="184" t="s">
        <v>295</v>
      </c>
      <c r="L731" s="185">
        <v>1</v>
      </c>
      <c r="M731" s="186">
        <v>4371382.21</v>
      </c>
      <c r="N731" s="186">
        <v>4398000</v>
      </c>
      <c r="O731" s="125">
        <f t="shared" si="60"/>
        <v>-26617.790000000037</v>
      </c>
      <c r="P731" s="125"/>
      <c r="Q731" s="73">
        <f t="shared" ref="Q731:Q755" si="62">M731*$Q$7*1.141</f>
        <v>498774.71016100002</v>
      </c>
    </row>
    <row r="732" spans="1:17" ht="14.5" x14ac:dyDescent="0.35">
      <c r="A732" s="184" t="s">
        <v>155</v>
      </c>
      <c r="B732" s="184" t="s">
        <v>415</v>
      </c>
      <c r="C732" s="184" t="s">
        <v>71</v>
      </c>
      <c r="D732" s="185" t="s">
        <v>287</v>
      </c>
      <c r="E732" s="185">
        <v>16651</v>
      </c>
      <c r="F732" s="185" t="s">
        <v>149</v>
      </c>
      <c r="G732" s="184">
        <v>101002</v>
      </c>
      <c r="H732" s="184" t="s">
        <v>109</v>
      </c>
      <c r="I732" s="184" t="s">
        <v>294</v>
      </c>
      <c r="J732" s="184" t="s">
        <v>295</v>
      </c>
      <c r="K732" s="184" t="s">
        <v>295</v>
      </c>
      <c r="L732" s="185">
        <v>1</v>
      </c>
      <c r="M732" s="186">
        <v>-837.82</v>
      </c>
      <c r="N732" s="186">
        <v>0</v>
      </c>
      <c r="O732" s="125">
        <f t="shared" si="60"/>
        <v>-837.82</v>
      </c>
      <c r="P732" s="125"/>
      <c r="Q732" s="73">
        <f t="shared" si="62"/>
        <v>-95.595262000000019</v>
      </c>
    </row>
    <row r="733" spans="1:17" ht="14.5" x14ac:dyDescent="0.35">
      <c r="A733" s="184" t="s">
        <v>155</v>
      </c>
      <c r="B733" s="184" t="s">
        <v>415</v>
      </c>
      <c r="C733" s="184" t="s">
        <v>71</v>
      </c>
      <c r="D733" s="185" t="s">
        <v>287</v>
      </c>
      <c r="E733" s="185">
        <v>16652</v>
      </c>
      <c r="F733" s="185" t="s">
        <v>149</v>
      </c>
      <c r="G733" s="184">
        <v>101002</v>
      </c>
      <c r="H733" s="184" t="s">
        <v>109</v>
      </c>
      <c r="I733" s="184" t="s">
        <v>294</v>
      </c>
      <c r="J733" s="184" t="s">
        <v>349</v>
      </c>
      <c r="K733" s="184" t="s">
        <v>295</v>
      </c>
      <c r="L733" s="185">
        <v>1</v>
      </c>
      <c r="M733" s="186">
        <v>146.22999999999999</v>
      </c>
      <c r="N733" s="186">
        <v>79000</v>
      </c>
      <c r="O733" s="125">
        <f t="shared" si="60"/>
        <v>-78853.77</v>
      </c>
      <c r="P733" s="125"/>
      <c r="Q733" s="73">
        <f t="shared" si="62"/>
        <v>16.684843000000001</v>
      </c>
    </row>
    <row r="734" spans="1:17" ht="14.5" x14ac:dyDescent="0.35">
      <c r="A734" s="184" t="s">
        <v>155</v>
      </c>
      <c r="B734" s="184" t="s">
        <v>415</v>
      </c>
      <c r="C734" s="184" t="s">
        <v>71</v>
      </c>
      <c r="D734" s="185" t="s">
        <v>287</v>
      </c>
      <c r="E734" s="185">
        <v>16653</v>
      </c>
      <c r="F734" s="185" t="s">
        <v>149</v>
      </c>
      <c r="G734" s="184">
        <v>101002</v>
      </c>
      <c r="H734" s="184" t="s">
        <v>109</v>
      </c>
      <c r="I734" s="184" t="s">
        <v>294</v>
      </c>
      <c r="J734" s="184" t="s">
        <v>347</v>
      </c>
      <c r="K734" s="184" t="s">
        <v>295</v>
      </c>
      <c r="L734" s="185">
        <v>1</v>
      </c>
      <c r="M734" s="186">
        <v>12073.76</v>
      </c>
      <c r="N734" s="186">
        <v>0</v>
      </c>
      <c r="O734" s="125">
        <f t="shared" si="60"/>
        <v>12073.76</v>
      </c>
      <c r="P734" s="125"/>
      <c r="Q734" s="73">
        <f t="shared" si="62"/>
        <v>1377.6160159999999</v>
      </c>
    </row>
    <row r="735" spans="1:17" ht="14.5" x14ac:dyDescent="0.35">
      <c r="A735" s="184" t="s">
        <v>155</v>
      </c>
      <c r="B735" s="184" t="s">
        <v>415</v>
      </c>
      <c r="C735" s="184" t="s">
        <v>71</v>
      </c>
      <c r="D735" s="185" t="s">
        <v>287</v>
      </c>
      <c r="E735" s="185">
        <v>16654</v>
      </c>
      <c r="F735" s="185" t="s">
        <v>149</v>
      </c>
      <c r="G735" s="184">
        <v>101039</v>
      </c>
      <c r="H735" s="184" t="s">
        <v>111</v>
      </c>
      <c r="I735" s="184" t="s">
        <v>294</v>
      </c>
      <c r="J735" s="184" t="s">
        <v>295</v>
      </c>
      <c r="K735" s="184" t="s">
        <v>295</v>
      </c>
      <c r="L735" s="185">
        <v>1</v>
      </c>
      <c r="M735" s="186">
        <v>73316.820000000007</v>
      </c>
      <c r="N735" s="186">
        <v>4000</v>
      </c>
      <c r="O735" s="125">
        <f t="shared" si="60"/>
        <v>69316.820000000007</v>
      </c>
      <c r="P735" s="125"/>
      <c r="Q735" s="73">
        <f t="shared" si="62"/>
        <v>8365.4491620000008</v>
      </c>
    </row>
    <row r="736" spans="1:17" ht="14.5" x14ac:dyDescent="0.35">
      <c r="A736" s="184" t="s">
        <v>155</v>
      </c>
      <c r="B736" s="184" t="s">
        <v>415</v>
      </c>
      <c r="C736" s="184" t="s">
        <v>71</v>
      </c>
      <c r="D736" s="185" t="s">
        <v>287</v>
      </c>
      <c r="E736" s="185">
        <v>16655</v>
      </c>
      <c r="F736" s="185" t="s">
        <v>149</v>
      </c>
      <c r="G736" s="184">
        <v>102002</v>
      </c>
      <c r="H736" s="184" t="s">
        <v>112</v>
      </c>
      <c r="I736" s="184" t="s">
        <v>294</v>
      </c>
      <c r="J736" s="184" t="s">
        <v>295</v>
      </c>
      <c r="K736" s="184" t="s">
        <v>295</v>
      </c>
      <c r="L736" s="185">
        <v>1</v>
      </c>
      <c r="M736" s="186">
        <v>18172.740000000002</v>
      </c>
      <c r="N736" s="186">
        <v>0</v>
      </c>
      <c r="O736" s="125">
        <f t="shared" si="60"/>
        <v>18172.740000000002</v>
      </c>
      <c r="P736" s="125"/>
      <c r="Q736" s="73">
        <f t="shared" si="62"/>
        <v>2073.5096340000005</v>
      </c>
    </row>
    <row r="737" spans="1:17" ht="14.5" x14ac:dyDescent="0.35">
      <c r="A737" s="184" t="s">
        <v>155</v>
      </c>
      <c r="B737" s="184" t="s">
        <v>415</v>
      </c>
      <c r="C737" s="184" t="s">
        <v>71</v>
      </c>
      <c r="D737" s="185" t="s">
        <v>287</v>
      </c>
      <c r="E737" s="185">
        <v>16656</v>
      </c>
      <c r="F737" s="185" t="s">
        <v>149</v>
      </c>
      <c r="G737" s="184">
        <v>102002</v>
      </c>
      <c r="H737" s="184" t="s">
        <v>112</v>
      </c>
      <c r="I737" s="184" t="s">
        <v>294</v>
      </c>
      <c r="J737" s="184" t="s">
        <v>347</v>
      </c>
      <c r="K737" s="184" t="s">
        <v>295</v>
      </c>
      <c r="L737" s="185">
        <v>1</v>
      </c>
      <c r="M737" s="186">
        <v>1237.05</v>
      </c>
      <c r="N737" s="186">
        <v>0</v>
      </c>
      <c r="O737" s="125">
        <f t="shared" si="60"/>
        <v>1237.05</v>
      </c>
      <c r="P737" s="125"/>
      <c r="Q737" s="73">
        <f t="shared" si="62"/>
        <v>141.14740499999999</v>
      </c>
    </row>
    <row r="738" spans="1:17" ht="14.5" x14ac:dyDescent="0.35">
      <c r="A738" s="184" t="s">
        <v>155</v>
      </c>
      <c r="B738" s="184" t="s">
        <v>415</v>
      </c>
      <c r="C738" s="184" t="s">
        <v>71</v>
      </c>
      <c r="D738" s="185" t="s">
        <v>287</v>
      </c>
      <c r="E738" s="185">
        <v>16657</v>
      </c>
      <c r="F738" s="185" t="s">
        <v>149</v>
      </c>
      <c r="G738" s="184">
        <v>102003</v>
      </c>
      <c r="H738" s="184" t="s">
        <v>110</v>
      </c>
      <c r="I738" s="184" t="s">
        <v>294</v>
      </c>
      <c r="J738" s="184" t="s">
        <v>295</v>
      </c>
      <c r="K738" s="184" t="s">
        <v>295</v>
      </c>
      <c r="L738" s="185">
        <v>1</v>
      </c>
      <c r="M738" s="186">
        <v>234613.6</v>
      </c>
      <c r="N738" s="186">
        <v>98000</v>
      </c>
      <c r="O738" s="125">
        <f t="shared" si="60"/>
        <v>136613.6</v>
      </c>
      <c r="P738" s="125"/>
      <c r="Q738" s="73">
        <f t="shared" si="62"/>
        <v>26769.411760000003</v>
      </c>
    </row>
    <row r="739" spans="1:17" ht="14.5" x14ac:dyDescent="0.35">
      <c r="A739" s="184" t="s">
        <v>155</v>
      </c>
      <c r="B739" s="184" t="s">
        <v>415</v>
      </c>
      <c r="C739" s="184" t="s">
        <v>71</v>
      </c>
      <c r="D739" s="185" t="s">
        <v>287</v>
      </c>
      <c r="E739" s="185">
        <v>16658</v>
      </c>
      <c r="F739" s="185" t="s">
        <v>149</v>
      </c>
      <c r="G739" s="184">
        <v>102003</v>
      </c>
      <c r="H739" s="184" t="s">
        <v>110</v>
      </c>
      <c r="I739" s="184" t="s">
        <v>294</v>
      </c>
      <c r="J739" s="184" t="s">
        <v>349</v>
      </c>
      <c r="K739" s="184" t="s">
        <v>295</v>
      </c>
      <c r="L739" s="185">
        <v>1</v>
      </c>
      <c r="M739" s="186">
        <v>65241.91</v>
      </c>
      <c r="N739" s="186">
        <v>0</v>
      </c>
      <c r="O739" s="125">
        <f t="shared" si="60"/>
        <v>65241.91</v>
      </c>
      <c r="P739" s="125"/>
      <c r="Q739" s="73">
        <f t="shared" si="62"/>
        <v>7444.1019310000011</v>
      </c>
    </row>
    <row r="740" spans="1:17" ht="14.5" x14ac:dyDescent="0.35">
      <c r="A740" s="184" t="s">
        <v>155</v>
      </c>
      <c r="B740" s="184" t="s">
        <v>415</v>
      </c>
      <c r="C740" s="184" t="s">
        <v>71</v>
      </c>
      <c r="D740" s="185" t="s">
        <v>287</v>
      </c>
      <c r="E740" s="185">
        <v>16659</v>
      </c>
      <c r="F740" s="185" t="s">
        <v>149</v>
      </c>
      <c r="G740" s="184">
        <v>102005</v>
      </c>
      <c r="H740" s="184" t="s">
        <v>116</v>
      </c>
      <c r="I740" s="184" t="s">
        <v>294</v>
      </c>
      <c r="J740" s="184" t="s">
        <v>295</v>
      </c>
      <c r="K740" s="184" t="s">
        <v>295</v>
      </c>
      <c r="L740" s="185">
        <v>1</v>
      </c>
      <c r="M740" s="186">
        <v>83314.53</v>
      </c>
      <c r="N740" s="186">
        <v>14000</v>
      </c>
      <c r="O740" s="125">
        <f t="shared" si="60"/>
        <v>69314.53</v>
      </c>
      <c r="P740" s="125"/>
      <c r="Q740" s="73">
        <f t="shared" si="62"/>
        <v>9506.1878729999989</v>
      </c>
    </row>
    <row r="741" spans="1:17" ht="14.5" x14ac:dyDescent="0.35">
      <c r="A741" s="184" t="s">
        <v>155</v>
      </c>
      <c r="B741" s="184" t="s">
        <v>415</v>
      </c>
      <c r="C741" s="184" t="s">
        <v>71</v>
      </c>
      <c r="D741" s="185" t="s">
        <v>287</v>
      </c>
      <c r="E741" s="185">
        <v>16660</v>
      </c>
      <c r="F741" s="185" t="s">
        <v>149</v>
      </c>
      <c r="G741" s="184">
        <v>102005</v>
      </c>
      <c r="H741" s="184" t="s">
        <v>116</v>
      </c>
      <c r="I741" s="184" t="s">
        <v>294</v>
      </c>
      <c r="J741" s="184" t="s">
        <v>349</v>
      </c>
      <c r="K741" s="184" t="s">
        <v>295</v>
      </c>
      <c r="L741" s="185">
        <v>1</v>
      </c>
      <c r="M741" s="186">
        <v>11834.29</v>
      </c>
      <c r="N741" s="186">
        <v>0</v>
      </c>
      <c r="O741" s="125">
        <f t="shared" si="60"/>
        <v>11834.29</v>
      </c>
      <c r="P741" s="125"/>
      <c r="Q741" s="73">
        <f t="shared" si="62"/>
        <v>1350.2924890000002</v>
      </c>
    </row>
    <row r="742" spans="1:17" ht="14.5" x14ac:dyDescent="0.35">
      <c r="A742" s="184" t="s">
        <v>155</v>
      </c>
      <c r="B742" s="184" t="s">
        <v>415</v>
      </c>
      <c r="C742" s="184" t="s">
        <v>71</v>
      </c>
      <c r="D742" s="185" t="s">
        <v>287</v>
      </c>
      <c r="E742" s="185">
        <v>16661</v>
      </c>
      <c r="F742" s="185" t="s">
        <v>149</v>
      </c>
      <c r="G742" s="184">
        <v>102062</v>
      </c>
      <c r="H742" s="184" t="s">
        <v>117</v>
      </c>
      <c r="I742" s="184" t="s">
        <v>294</v>
      </c>
      <c r="J742" s="184" t="s">
        <v>295</v>
      </c>
      <c r="K742" s="184" t="s">
        <v>295</v>
      </c>
      <c r="L742" s="185">
        <v>1</v>
      </c>
      <c r="M742" s="186">
        <v>5443.31</v>
      </c>
      <c r="N742" s="186">
        <v>0</v>
      </c>
      <c r="O742" s="125">
        <f t="shared" si="60"/>
        <v>5443.31</v>
      </c>
      <c r="P742" s="125"/>
      <c r="Q742" s="73">
        <f t="shared" si="62"/>
        <v>621.08167100000003</v>
      </c>
    </row>
    <row r="743" spans="1:17" ht="14.5" x14ac:dyDescent="0.35">
      <c r="A743" s="184" t="s">
        <v>155</v>
      </c>
      <c r="B743" s="184" t="s">
        <v>415</v>
      </c>
      <c r="C743" s="184" t="s">
        <v>71</v>
      </c>
      <c r="D743" s="185" t="s">
        <v>287</v>
      </c>
      <c r="E743" s="185">
        <v>16662</v>
      </c>
      <c r="F743" s="185" t="s">
        <v>149</v>
      </c>
      <c r="G743" s="184">
        <v>103001</v>
      </c>
      <c r="H743" s="184" t="s">
        <v>113</v>
      </c>
      <c r="I743" s="184" t="s">
        <v>294</v>
      </c>
      <c r="J743" s="184" t="s">
        <v>295</v>
      </c>
      <c r="K743" s="184" t="s">
        <v>295</v>
      </c>
      <c r="L743" s="185">
        <v>1</v>
      </c>
      <c r="M743" s="186">
        <v>18889.82</v>
      </c>
      <c r="N743" s="186">
        <v>0</v>
      </c>
      <c r="O743" s="125">
        <f t="shared" si="60"/>
        <v>18889.82</v>
      </c>
      <c r="P743" s="125"/>
      <c r="Q743" s="73">
        <f t="shared" si="62"/>
        <v>2155.3284619999999</v>
      </c>
    </row>
    <row r="744" spans="1:17" ht="14.5" x14ac:dyDescent="0.35">
      <c r="A744" s="184" t="s">
        <v>155</v>
      </c>
      <c r="B744" s="184" t="s">
        <v>415</v>
      </c>
      <c r="C744" s="184" t="s">
        <v>71</v>
      </c>
      <c r="D744" s="185" t="s">
        <v>287</v>
      </c>
      <c r="E744" s="185">
        <v>16663</v>
      </c>
      <c r="F744" s="185" t="s">
        <v>149</v>
      </c>
      <c r="G744" s="184">
        <v>103001</v>
      </c>
      <c r="H744" s="184" t="s">
        <v>113</v>
      </c>
      <c r="I744" s="184" t="s">
        <v>294</v>
      </c>
      <c r="J744" s="184" t="s">
        <v>349</v>
      </c>
      <c r="K744" s="184" t="s">
        <v>295</v>
      </c>
      <c r="L744" s="185">
        <v>1</v>
      </c>
      <c r="M744" s="186">
        <v>1665.08</v>
      </c>
      <c r="N744" s="186">
        <v>0</v>
      </c>
      <c r="O744" s="125">
        <f t="shared" si="60"/>
        <v>1665.08</v>
      </c>
      <c r="P744" s="125"/>
      <c r="Q744" s="73">
        <f t="shared" si="62"/>
        <v>189.98562800000002</v>
      </c>
    </row>
    <row r="745" spans="1:17" ht="14.5" x14ac:dyDescent="0.35">
      <c r="A745" s="184" t="s">
        <v>155</v>
      </c>
      <c r="B745" s="184" t="s">
        <v>415</v>
      </c>
      <c r="C745" s="184" t="s">
        <v>71</v>
      </c>
      <c r="D745" s="185" t="s">
        <v>287</v>
      </c>
      <c r="E745" s="185">
        <v>16664</v>
      </c>
      <c r="F745" s="185" t="s">
        <v>149</v>
      </c>
      <c r="G745" s="184">
        <v>103001</v>
      </c>
      <c r="H745" s="184" t="s">
        <v>113</v>
      </c>
      <c r="I745" s="184" t="s">
        <v>294</v>
      </c>
      <c r="J745" s="184" t="s">
        <v>347</v>
      </c>
      <c r="K745" s="184" t="s">
        <v>295</v>
      </c>
      <c r="L745" s="185">
        <v>1</v>
      </c>
      <c r="M745" s="186">
        <v>2305.41</v>
      </c>
      <c r="N745" s="186">
        <v>0</v>
      </c>
      <c r="O745" s="125">
        <f t="shared" si="60"/>
        <v>2305.41</v>
      </c>
      <c r="P745" s="125"/>
      <c r="Q745" s="73">
        <f t="shared" si="62"/>
        <v>263.047281</v>
      </c>
    </row>
    <row r="746" spans="1:17" ht="14.5" x14ac:dyDescent="0.35">
      <c r="A746" s="184" t="s">
        <v>155</v>
      </c>
      <c r="B746" s="184" t="s">
        <v>415</v>
      </c>
      <c r="C746" s="184" t="s">
        <v>71</v>
      </c>
      <c r="D746" s="185" t="s">
        <v>287</v>
      </c>
      <c r="E746" s="185">
        <v>16665</v>
      </c>
      <c r="F746" s="185" t="s">
        <v>149</v>
      </c>
      <c r="G746" s="184">
        <v>103062</v>
      </c>
      <c r="H746" s="184" t="s">
        <v>118</v>
      </c>
      <c r="I746" s="184" t="s">
        <v>294</v>
      </c>
      <c r="J746" s="184" t="s">
        <v>295</v>
      </c>
      <c r="K746" s="184" t="s">
        <v>295</v>
      </c>
      <c r="L746" s="185">
        <v>1</v>
      </c>
      <c r="M746" s="186">
        <v>497.28</v>
      </c>
      <c r="N746" s="186">
        <v>0</v>
      </c>
      <c r="O746" s="125">
        <f t="shared" si="60"/>
        <v>497.28</v>
      </c>
      <c r="P746" s="125"/>
      <c r="Q746" s="73">
        <f t="shared" si="62"/>
        <v>56.739648000000003</v>
      </c>
    </row>
    <row r="747" spans="1:17" ht="14.5" x14ac:dyDescent="0.35">
      <c r="A747" s="184" t="s">
        <v>155</v>
      </c>
      <c r="B747" s="184" t="s">
        <v>415</v>
      </c>
      <c r="C747" s="184" t="s">
        <v>71</v>
      </c>
      <c r="D747" s="185" t="s">
        <v>287</v>
      </c>
      <c r="E747" s="185">
        <v>16666</v>
      </c>
      <c r="F747" s="185" t="s">
        <v>149</v>
      </c>
      <c r="G747" s="184">
        <v>103069</v>
      </c>
      <c r="H747" s="184" t="s">
        <v>225</v>
      </c>
      <c r="I747" s="184" t="s">
        <v>294</v>
      </c>
      <c r="J747" s="184" t="s">
        <v>295</v>
      </c>
      <c r="K747" s="184" t="s">
        <v>295</v>
      </c>
      <c r="L747" s="185">
        <v>1</v>
      </c>
      <c r="M747" s="186">
        <v>16658.71</v>
      </c>
      <c r="N747" s="186">
        <v>0</v>
      </c>
      <c r="O747" s="125">
        <f t="shared" si="60"/>
        <v>16658.71</v>
      </c>
      <c r="P747" s="125"/>
      <c r="Q747" s="73">
        <f t="shared" si="62"/>
        <v>1900.7588110000002</v>
      </c>
    </row>
    <row r="748" spans="1:17" ht="14.5" x14ac:dyDescent="0.35">
      <c r="A748" s="184" t="s">
        <v>155</v>
      </c>
      <c r="B748" s="184" t="s">
        <v>415</v>
      </c>
      <c r="C748" s="184" t="s">
        <v>71</v>
      </c>
      <c r="D748" s="185" t="s">
        <v>287</v>
      </c>
      <c r="E748" s="185">
        <v>16667</v>
      </c>
      <c r="F748" s="185" t="s">
        <v>149</v>
      </c>
      <c r="G748" s="184">
        <v>104000</v>
      </c>
      <c r="H748" s="184" t="s">
        <v>114</v>
      </c>
      <c r="I748" s="184" t="s">
        <v>294</v>
      </c>
      <c r="J748" s="184" t="s">
        <v>295</v>
      </c>
      <c r="K748" s="184" t="s">
        <v>295</v>
      </c>
      <c r="L748" s="185">
        <v>1</v>
      </c>
      <c r="M748" s="186">
        <v>40680.1</v>
      </c>
      <c r="N748" s="186">
        <v>37000</v>
      </c>
      <c r="O748" s="125">
        <f t="shared" si="60"/>
        <v>3680.0999999999985</v>
      </c>
      <c r="P748" s="125"/>
      <c r="Q748" s="73">
        <f t="shared" si="62"/>
        <v>4641.5994100000007</v>
      </c>
    </row>
    <row r="749" spans="1:17" ht="14.5" x14ac:dyDescent="0.35">
      <c r="A749" s="184" t="s">
        <v>155</v>
      </c>
      <c r="B749" s="184" t="s">
        <v>415</v>
      </c>
      <c r="C749" s="184" t="s">
        <v>71</v>
      </c>
      <c r="D749" s="185" t="s">
        <v>287</v>
      </c>
      <c r="E749" s="185">
        <v>16668</v>
      </c>
      <c r="F749" s="185" t="s">
        <v>149</v>
      </c>
      <c r="G749" s="184">
        <v>104000</v>
      </c>
      <c r="H749" s="184" t="s">
        <v>114</v>
      </c>
      <c r="I749" s="184" t="s">
        <v>294</v>
      </c>
      <c r="J749" s="184" t="s">
        <v>349</v>
      </c>
      <c r="K749" s="184" t="s">
        <v>295</v>
      </c>
      <c r="L749" s="185">
        <v>1</v>
      </c>
      <c r="M749" s="186">
        <v>101222.37</v>
      </c>
      <c r="N749" s="186">
        <v>103000</v>
      </c>
      <c r="O749" s="125">
        <f t="shared" si="60"/>
        <v>-1777.6300000000047</v>
      </c>
      <c r="P749" s="125"/>
      <c r="Q749" s="73">
        <f t="shared" si="62"/>
        <v>11549.472417000001</v>
      </c>
    </row>
    <row r="750" spans="1:17" ht="14.5" x14ac:dyDescent="0.35">
      <c r="A750" s="184" t="s">
        <v>155</v>
      </c>
      <c r="B750" s="184" t="s">
        <v>415</v>
      </c>
      <c r="C750" s="184" t="s">
        <v>71</v>
      </c>
      <c r="D750" s="185" t="s">
        <v>287</v>
      </c>
      <c r="E750" s="185">
        <v>16669</v>
      </c>
      <c r="F750" s="185" t="s">
        <v>149</v>
      </c>
      <c r="G750" s="184">
        <v>104000</v>
      </c>
      <c r="H750" s="184" t="s">
        <v>114</v>
      </c>
      <c r="I750" s="184" t="s">
        <v>294</v>
      </c>
      <c r="J750" s="184" t="s">
        <v>347</v>
      </c>
      <c r="K750" s="184" t="s">
        <v>295</v>
      </c>
      <c r="L750" s="185">
        <v>1</v>
      </c>
      <c r="M750" s="186">
        <v>1659.07</v>
      </c>
      <c r="N750" s="186">
        <v>0</v>
      </c>
      <c r="O750" s="125">
        <f t="shared" si="60"/>
        <v>1659.07</v>
      </c>
      <c r="P750" s="125"/>
      <c r="Q750" s="73">
        <f t="shared" si="62"/>
        <v>189.29988700000001</v>
      </c>
    </row>
    <row r="751" spans="1:17" ht="14.5" x14ac:dyDescent="0.35">
      <c r="A751" s="184" t="s">
        <v>155</v>
      </c>
      <c r="B751" s="184" t="s">
        <v>415</v>
      </c>
      <c r="C751" s="184" t="s">
        <v>71</v>
      </c>
      <c r="D751" s="185" t="s">
        <v>287</v>
      </c>
      <c r="E751" s="185">
        <v>16670</v>
      </c>
      <c r="F751" s="185" t="s">
        <v>149</v>
      </c>
      <c r="G751" s="184">
        <v>105003</v>
      </c>
      <c r="H751" s="184" t="s">
        <v>317</v>
      </c>
      <c r="I751" s="184" t="s">
        <v>294</v>
      </c>
      <c r="J751" s="184" t="s">
        <v>295</v>
      </c>
      <c r="K751" s="184" t="s">
        <v>295</v>
      </c>
      <c r="L751" s="185">
        <v>1</v>
      </c>
      <c r="M751" s="186">
        <v>191333.36</v>
      </c>
      <c r="N751" s="186">
        <v>0</v>
      </c>
      <c r="O751" s="125">
        <f t="shared" si="60"/>
        <v>191333.36</v>
      </c>
      <c r="P751" s="125"/>
      <c r="Q751" s="73">
        <f t="shared" si="62"/>
        <v>21831.136375999999</v>
      </c>
    </row>
    <row r="752" spans="1:17" ht="14.5" x14ac:dyDescent="0.35">
      <c r="A752" s="184" t="s">
        <v>155</v>
      </c>
      <c r="B752" s="184" t="s">
        <v>415</v>
      </c>
      <c r="C752" s="184" t="s">
        <v>71</v>
      </c>
      <c r="D752" s="185" t="s">
        <v>287</v>
      </c>
      <c r="E752" s="185">
        <v>16671</v>
      </c>
      <c r="F752" s="185" t="s">
        <v>149</v>
      </c>
      <c r="G752" s="184">
        <v>105010</v>
      </c>
      <c r="H752" s="184" t="s">
        <v>124</v>
      </c>
      <c r="I752" s="184" t="s">
        <v>294</v>
      </c>
      <c r="J752" s="184" t="s">
        <v>295</v>
      </c>
      <c r="K752" s="184" t="s">
        <v>295</v>
      </c>
      <c r="L752" s="185">
        <v>1</v>
      </c>
      <c r="M752" s="186">
        <v>1154.47</v>
      </c>
      <c r="N752" s="186">
        <v>0</v>
      </c>
      <c r="O752" s="125">
        <f t="shared" si="60"/>
        <v>1154.47</v>
      </c>
      <c r="P752" s="125"/>
      <c r="Q752" s="73">
        <f t="shared" si="62"/>
        <v>131.72502700000001</v>
      </c>
    </row>
    <row r="753" spans="1:17" ht="14.5" x14ac:dyDescent="0.35">
      <c r="A753" s="184" t="s">
        <v>155</v>
      </c>
      <c r="B753" s="184" t="s">
        <v>415</v>
      </c>
      <c r="C753" s="184" t="s">
        <v>71</v>
      </c>
      <c r="D753" s="185" t="s">
        <v>287</v>
      </c>
      <c r="E753" s="185">
        <v>16672</v>
      </c>
      <c r="F753" s="185" t="s">
        <v>149</v>
      </c>
      <c r="G753" s="184">
        <v>105019</v>
      </c>
      <c r="H753" s="184" t="s">
        <v>115</v>
      </c>
      <c r="I753" s="184" t="s">
        <v>294</v>
      </c>
      <c r="J753" s="184" t="s">
        <v>295</v>
      </c>
      <c r="K753" s="184" t="s">
        <v>295</v>
      </c>
      <c r="L753" s="185">
        <v>1</v>
      </c>
      <c r="M753" s="186">
        <v>127.25</v>
      </c>
      <c r="N753" s="186">
        <v>0</v>
      </c>
      <c r="O753" s="125">
        <f t="shared" si="60"/>
        <v>127.25</v>
      </c>
      <c r="P753" s="125"/>
      <c r="Q753" s="73">
        <f t="shared" si="62"/>
        <v>14.519225000000002</v>
      </c>
    </row>
    <row r="754" spans="1:17" ht="14.5" x14ac:dyDescent="0.35">
      <c r="A754" s="184" t="s">
        <v>155</v>
      </c>
      <c r="B754" s="184" t="s">
        <v>415</v>
      </c>
      <c r="C754" s="184" t="s">
        <v>71</v>
      </c>
      <c r="D754" s="185" t="s">
        <v>287</v>
      </c>
      <c r="E754" s="185">
        <v>16673</v>
      </c>
      <c r="F754" s="185" t="s">
        <v>149</v>
      </c>
      <c r="G754" s="184">
        <v>105098</v>
      </c>
      <c r="H754" s="184" t="s">
        <v>314</v>
      </c>
      <c r="I754" s="184" t="s">
        <v>294</v>
      </c>
      <c r="J754" s="184" t="s">
        <v>391</v>
      </c>
      <c r="K754" s="184" t="s">
        <v>295</v>
      </c>
      <c r="L754" s="185">
        <v>1</v>
      </c>
      <c r="M754" s="186">
        <v>-4392</v>
      </c>
      <c r="N754" s="186">
        <v>0</v>
      </c>
      <c r="O754" s="125">
        <f t="shared" si="60"/>
        <v>-4392</v>
      </c>
      <c r="P754" s="125"/>
      <c r="Q754" s="73">
        <f t="shared" si="62"/>
        <v>-501.12720000000007</v>
      </c>
    </row>
    <row r="755" spans="1:17" ht="14.5" x14ac:dyDescent="0.35">
      <c r="A755" s="184" t="s">
        <v>155</v>
      </c>
      <c r="B755" s="184" t="s">
        <v>415</v>
      </c>
      <c r="C755" s="184" t="s">
        <v>71</v>
      </c>
      <c r="D755" s="185" t="s">
        <v>287</v>
      </c>
      <c r="E755" s="185">
        <v>16674</v>
      </c>
      <c r="F755" s="185" t="s">
        <v>149</v>
      </c>
      <c r="G755" s="184">
        <v>105099</v>
      </c>
      <c r="H755" s="184" t="s">
        <v>107</v>
      </c>
      <c r="I755" s="184" t="s">
        <v>294</v>
      </c>
      <c r="J755" s="184" t="s">
        <v>392</v>
      </c>
      <c r="K755" s="184" t="s">
        <v>295</v>
      </c>
      <c r="L755" s="185">
        <v>1</v>
      </c>
      <c r="M755" s="186">
        <v>4392</v>
      </c>
      <c r="N755" s="186">
        <v>0</v>
      </c>
      <c r="O755" s="125">
        <f t="shared" si="60"/>
        <v>4392</v>
      </c>
      <c r="P755" s="125"/>
      <c r="Q755" s="73">
        <f t="shared" si="62"/>
        <v>501.12720000000007</v>
      </c>
    </row>
    <row r="756" spans="1:17" ht="14.5" x14ac:dyDescent="0.35">
      <c r="A756" s="184" t="s">
        <v>155</v>
      </c>
      <c r="B756" s="184" t="s">
        <v>415</v>
      </c>
      <c r="C756" s="184" t="s">
        <v>71</v>
      </c>
      <c r="D756" s="185" t="s">
        <v>287</v>
      </c>
      <c r="E756" s="185">
        <v>16675</v>
      </c>
      <c r="F756" s="185" t="s">
        <v>149</v>
      </c>
      <c r="G756" s="189">
        <v>109001</v>
      </c>
      <c r="H756" s="184" t="s">
        <v>105</v>
      </c>
      <c r="I756" s="184" t="s">
        <v>294</v>
      </c>
      <c r="J756" s="184" t="s">
        <v>295</v>
      </c>
      <c r="K756" s="184" t="s">
        <v>295</v>
      </c>
      <c r="L756" s="185">
        <v>1</v>
      </c>
      <c r="M756" s="186">
        <v>492129.83</v>
      </c>
      <c r="N756" s="186">
        <v>455000</v>
      </c>
      <c r="O756" s="125">
        <f t="shared" si="60"/>
        <v>37129.830000000016</v>
      </c>
      <c r="P756" s="164">
        <f t="shared" ref="P756:P758" si="63">M756*-1</f>
        <v>-492129.83</v>
      </c>
    </row>
    <row r="757" spans="1:17" ht="14.5" x14ac:dyDescent="0.35">
      <c r="A757" s="184" t="s">
        <v>155</v>
      </c>
      <c r="B757" s="184" t="s">
        <v>415</v>
      </c>
      <c r="C757" s="184" t="s">
        <v>71</v>
      </c>
      <c r="D757" s="185" t="s">
        <v>287</v>
      </c>
      <c r="E757" s="185">
        <v>16676</v>
      </c>
      <c r="F757" s="185" t="s">
        <v>149</v>
      </c>
      <c r="G757" s="189">
        <v>109001</v>
      </c>
      <c r="H757" s="184" t="s">
        <v>105</v>
      </c>
      <c r="I757" s="184" t="s">
        <v>294</v>
      </c>
      <c r="J757" s="184" t="s">
        <v>349</v>
      </c>
      <c r="K757" s="184" t="s">
        <v>295</v>
      </c>
      <c r="L757" s="185">
        <v>1</v>
      </c>
      <c r="M757" s="186">
        <v>7943.49</v>
      </c>
      <c r="N757" s="186">
        <v>8000</v>
      </c>
      <c r="O757" s="125">
        <f t="shared" si="60"/>
        <v>-56.510000000000218</v>
      </c>
      <c r="P757" s="164">
        <f t="shared" si="63"/>
        <v>-7943.49</v>
      </c>
    </row>
    <row r="758" spans="1:17" ht="14.5" x14ac:dyDescent="0.35">
      <c r="A758" s="184" t="s">
        <v>155</v>
      </c>
      <c r="B758" s="184" t="s">
        <v>415</v>
      </c>
      <c r="C758" s="184" t="s">
        <v>71</v>
      </c>
      <c r="D758" s="185" t="s">
        <v>287</v>
      </c>
      <c r="E758" s="185">
        <v>16677</v>
      </c>
      <c r="F758" s="185" t="s">
        <v>149</v>
      </c>
      <c r="G758" s="189">
        <v>109001</v>
      </c>
      <c r="H758" s="184" t="s">
        <v>105</v>
      </c>
      <c r="I758" s="184" t="s">
        <v>294</v>
      </c>
      <c r="J758" s="184" t="s">
        <v>347</v>
      </c>
      <c r="K758" s="184" t="s">
        <v>295</v>
      </c>
      <c r="L758" s="185">
        <v>1</v>
      </c>
      <c r="M758" s="186">
        <v>1526.64</v>
      </c>
      <c r="N758" s="186">
        <v>0</v>
      </c>
      <c r="O758" s="125">
        <f t="shared" si="60"/>
        <v>1526.64</v>
      </c>
      <c r="P758" s="164">
        <f t="shared" si="63"/>
        <v>-1526.64</v>
      </c>
      <c r="Q758" s="164"/>
    </row>
    <row r="759" spans="1:17" ht="14.5" x14ac:dyDescent="0.35">
      <c r="A759" s="184" t="s">
        <v>155</v>
      </c>
      <c r="B759" s="184" t="s">
        <v>415</v>
      </c>
      <c r="C759" s="184" t="s">
        <v>71</v>
      </c>
      <c r="D759" s="185" t="s">
        <v>287</v>
      </c>
      <c r="E759" s="185">
        <v>16678</v>
      </c>
      <c r="F759" s="185" t="s">
        <v>149</v>
      </c>
      <c r="G759" s="189">
        <v>109901</v>
      </c>
      <c r="H759" s="184" t="s">
        <v>106</v>
      </c>
      <c r="I759" s="184" t="s">
        <v>294</v>
      </c>
      <c r="J759" s="184" t="s">
        <v>295</v>
      </c>
      <c r="K759" s="184" t="s">
        <v>295</v>
      </c>
      <c r="L759" s="185">
        <v>1</v>
      </c>
      <c r="M759" s="186">
        <v>729882.92</v>
      </c>
      <c r="N759" s="186">
        <v>708000</v>
      </c>
      <c r="O759" s="125">
        <f t="shared" si="60"/>
        <v>21882.920000000042</v>
      </c>
      <c r="P759" s="164"/>
    </row>
    <row r="760" spans="1:17" ht="14.5" x14ac:dyDescent="0.35">
      <c r="A760" s="184" t="s">
        <v>155</v>
      </c>
      <c r="B760" s="184" t="s">
        <v>415</v>
      </c>
      <c r="C760" s="184" t="s">
        <v>71</v>
      </c>
      <c r="D760" s="185" t="s">
        <v>287</v>
      </c>
      <c r="E760" s="185">
        <v>16679</v>
      </c>
      <c r="F760" s="185" t="s">
        <v>149</v>
      </c>
      <c r="G760" s="189">
        <v>109901</v>
      </c>
      <c r="H760" s="184" t="s">
        <v>106</v>
      </c>
      <c r="I760" s="184" t="s">
        <v>294</v>
      </c>
      <c r="J760" s="184" t="s">
        <v>349</v>
      </c>
      <c r="K760" s="184" t="s">
        <v>295</v>
      </c>
      <c r="L760" s="185">
        <v>1</v>
      </c>
      <c r="M760" s="186">
        <v>26515.54</v>
      </c>
      <c r="N760" s="186">
        <v>27000</v>
      </c>
      <c r="O760" s="125">
        <f t="shared" si="60"/>
        <v>-484.45999999999913</v>
      </c>
      <c r="P760" s="164"/>
    </row>
    <row r="761" spans="1:17" ht="14.5" x14ac:dyDescent="0.35">
      <c r="A761" s="184" t="s">
        <v>155</v>
      </c>
      <c r="B761" s="184" t="s">
        <v>415</v>
      </c>
      <c r="C761" s="184" t="s">
        <v>71</v>
      </c>
      <c r="D761" s="185" t="s">
        <v>287</v>
      </c>
      <c r="E761" s="185">
        <v>16680</v>
      </c>
      <c r="F761" s="185" t="s">
        <v>149</v>
      </c>
      <c r="G761" s="189">
        <v>109901</v>
      </c>
      <c r="H761" s="184" t="s">
        <v>106</v>
      </c>
      <c r="I761" s="184" t="s">
        <v>294</v>
      </c>
      <c r="J761" s="184" t="s">
        <v>392</v>
      </c>
      <c r="K761" s="184" t="s">
        <v>295</v>
      </c>
      <c r="L761" s="185">
        <v>1</v>
      </c>
      <c r="M761" s="186">
        <v>619.32000000000005</v>
      </c>
      <c r="N761" s="186">
        <v>0</v>
      </c>
      <c r="O761" s="125">
        <f t="shared" si="60"/>
        <v>619.32000000000005</v>
      </c>
      <c r="P761" s="164"/>
    </row>
    <row r="762" spans="1:17" ht="14.5" x14ac:dyDescent="0.35">
      <c r="A762" s="184" t="s">
        <v>155</v>
      </c>
      <c r="B762" s="184" t="s">
        <v>415</v>
      </c>
      <c r="C762" s="184" t="s">
        <v>71</v>
      </c>
      <c r="D762" s="185" t="s">
        <v>287</v>
      </c>
      <c r="E762" s="185">
        <v>16681</v>
      </c>
      <c r="F762" s="185" t="s">
        <v>149</v>
      </c>
      <c r="G762" s="189">
        <v>109901</v>
      </c>
      <c r="H762" s="184" t="s">
        <v>106</v>
      </c>
      <c r="I762" s="184" t="s">
        <v>294</v>
      </c>
      <c r="J762" s="184" t="s">
        <v>347</v>
      </c>
      <c r="K762" s="184" t="s">
        <v>295</v>
      </c>
      <c r="L762" s="185">
        <v>1</v>
      </c>
      <c r="M762" s="186">
        <v>2651.06</v>
      </c>
      <c r="N762" s="186">
        <v>0</v>
      </c>
      <c r="O762" s="125">
        <f t="shared" si="60"/>
        <v>2651.06</v>
      </c>
      <c r="P762" s="164"/>
    </row>
    <row r="763" spans="1:17" ht="14.5" hidden="1" x14ac:dyDescent="0.35">
      <c r="A763" s="184" t="s">
        <v>155</v>
      </c>
      <c r="B763" s="190" t="s">
        <v>416</v>
      </c>
      <c r="C763" s="184" t="s">
        <v>226</v>
      </c>
      <c r="D763" s="185" t="s">
        <v>287</v>
      </c>
      <c r="E763" s="185">
        <v>16759</v>
      </c>
      <c r="F763" s="185" t="s">
        <v>149</v>
      </c>
      <c r="G763" s="184">
        <v>101001</v>
      </c>
      <c r="H763" s="184" t="s">
        <v>108</v>
      </c>
      <c r="I763" s="184" t="s">
        <v>294</v>
      </c>
      <c r="J763" s="184" t="s">
        <v>295</v>
      </c>
      <c r="K763" s="184" t="s">
        <v>295</v>
      </c>
      <c r="L763" s="185">
        <v>1</v>
      </c>
      <c r="M763" s="186">
        <v>941862.81</v>
      </c>
      <c r="N763" s="186">
        <v>1395000</v>
      </c>
      <c r="O763" s="125">
        <f t="shared" si="60"/>
        <v>-453137.18999999994</v>
      </c>
      <c r="P763" s="164"/>
      <c r="Q763" s="73">
        <f t="shared" ref="Q763:Q773" si="64">M763*$Q$7*1.141</f>
        <v>107466.54662100002</v>
      </c>
    </row>
    <row r="764" spans="1:17" ht="14.5" hidden="1" x14ac:dyDescent="0.35">
      <c r="A764" s="184" t="s">
        <v>155</v>
      </c>
      <c r="B764" s="190" t="s">
        <v>416</v>
      </c>
      <c r="C764" s="184" t="s">
        <v>226</v>
      </c>
      <c r="D764" s="185" t="s">
        <v>287</v>
      </c>
      <c r="E764" s="185">
        <v>16760</v>
      </c>
      <c r="F764" s="185" t="s">
        <v>149</v>
      </c>
      <c r="G764" s="184">
        <v>101002</v>
      </c>
      <c r="H764" s="184" t="s">
        <v>109</v>
      </c>
      <c r="I764" s="184" t="s">
        <v>294</v>
      </c>
      <c r="J764" s="184" t="s">
        <v>349</v>
      </c>
      <c r="K764" s="184" t="s">
        <v>295</v>
      </c>
      <c r="L764" s="185">
        <v>1</v>
      </c>
      <c r="M764" s="186">
        <v>0</v>
      </c>
      <c r="N764" s="186">
        <v>2000</v>
      </c>
      <c r="O764" s="125">
        <f t="shared" si="60"/>
        <v>-2000</v>
      </c>
      <c r="P764" s="164"/>
      <c r="Q764" s="73">
        <f t="shared" si="64"/>
        <v>0</v>
      </c>
    </row>
    <row r="765" spans="1:17" ht="14.5" hidden="1" x14ac:dyDescent="0.35">
      <c r="A765" s="184" t="s">
        <v>155</v>
      </c>
      <c r="B765" s="190" t="s">
        <v>416</v>
      </c>
      <c r="C765" s="184" t="s">
        <v>226</v>
      </c>
      <c r="D765" s="185" t="s">
        <v>287</v>
      </c>
      <c r="E765" s="185">
        <v>16761</v>
      </c>
      <c r="F765" s="185" t="s">
        <v>149</v>
      </c>
      <c r="G765" s="184">
        <v>101039</v>
      </c>
      <c r="H765" s="184" t="s">
        <v>111</v>
      </c>
      <c r="I765" s="184" t="s">
        <v>294</v>
      </c>
      <c r="J765" s="184" t="s">
        <v>295</v>
      </c>
      <c r="K765" s="184" t="s">
        <v>295</v>
      </c>
      <c r="L765" s="185">
        <v>1</v>
      </c>
      <c r="M765" s="186">
        <v>17371.47</v>
      </c>
      <c r="N765" s="186">
        <v>1000</v>
      </c>
      <c r="O765" s="125">
        <f t="shared" si="60"/>
        <v>16371.470000000001</v>
      </c>
      <c r="P765" s="164"/>
      <c r="Q765" s="73">
        <f t="shared" si="64"/>
        <v>1982.0847270000002</v>
      </c>
    </row>
    <row r="766" spans="1:17" ht="14.5" hidden="1" x14ac:dyDescent="0.35">
      <c r="A766" s="184" t="s">
        <v>155</v>
      </c>
      <c r="B766" s="190" t="s">
        <v>416</v>
      </c>
      <c r="C766" s="184" t="s">
        <v>226</v>
      </c>
      <c r="D766" s="185" t="s">
        <v>287</v>
      </c>
      <c r="E766" s="185">
        <v>16762</v>
      </c>
      <c r="F766" s="185" t="s">
        <v>149</v>
      </c>
      <c r="G766" s="184">
        <v>102003</v>
      </c>
      <c r="H766" s="184" t="s">
        <v>110</v>
      </c>
      <c r="I766" s="184" t="s">
        <v>294</v>
      </c>
      <c r="J766" s="184" t="s">
        <v>295</v>
      </c>
      <c r="K766" s="184" t="s">
        <v>295</v>
      </c>
      <c r="L766" s="185">
        <v>1</v>
      </c>
      <c r="M766" s="186">
        <v>1958.87</v>
      </c>
      <c r="N766" s="186">
        <v>30000</v>
      </c>
      <c r="O766" s="125">
        <f t="shared" si="60"/>
        <v>-28041.13</v>
      </c>
      <c r="P766" s="125">
        <f>M766*1.141*-1</f>
        <v>-2235.0706700000001</v>
      </c>
      <c r="Q766" s="73">
        <f t="shared" si="64"/>
        <v>223.50706700000001</v>
      </c>
    </row>
    <row r="767" spans="1:17" ht="14.5" hidden="1" x14ac:dyDescent="0.35">
      <c r="A767" s="184" t="s">
        <v>155</v>
      </c>
      <c r="B767" s="190" t="s">
        <v>416</v>
      </c>
      <c r="C767" s="184" t="s">
        <v>226</v>
      </c>
      <c r="D767" s="185" t="s">
        <v>287</v>
      </c>
      <c r="E767" s="185">
        <v>16763</v>
      </c>
      <c r="F767" s="185" t="s">
        <v>149</v>
      </c>
      <c r="G767" s="184">
        <v>102003</v>
      </c>
      <c r="H767" s="184" t="s">
        <v>110</v>
      </c>
      <c r="I767" s="184" t="s">
        <v>294</v>
      </c>
      <c r="J767" s="184" t="s">
        <v>349</v>
      </c>
      <c r="K767" s="184" t="s">
        <v>295</v>
      </c>
      <c r="L767" s="185">
        <v>1</v>
      </c>
      <c r="M767" s="186">
        <v>1958.87</v>
      </c>
      <c r="N767" s="186">
        <v>0</v>
      </c>
      <c r="O767" s="125">
        <f t="shared" si="60"/>
        <v>1958.87</v>
      </c>
      <c r="P767" s="164"/>
      <c r="Q767" s="73">
        <f t="shared" si="64"/>
        <v>223.50706700000001</v>
      </c>
    </row>
    <row r="768" spans="1:17" ht="14.5" hidden="1" x14ac:dyDescent="0.35">
      <c r="A768" s="184" t="s">
        <v>155</v>
      </c>
      <c r="B768" s="190" t="s">
        <v>416</v>
      </c>
      <c r="C768" s="184" t="s">
        <v>226</v>
      </c>
      <c r="D768" s="185" t="s">
        <v>287</v>
      </c>
      <c r="E768" s="185">
        <v>16764</v>
      </c>
      <c r="F768" s="185" t="s">
        <v>149</v>
      </c>
      <c r="G768" s="184">
        <v>102005</v>
      </c>
      <c r="H768" s="184" t="s">
        <v>116</v>
      </c>
      <c r="I768" s="184" t="s">
        <v>294</v>
      </c>
      <c r="J768" s="184" t="s">
        <v>295</v>
      </c>
      <c r="K768" s="184" t="s">
        <v>295</v>
      </c>
      <c r="L768" s="185">
        <v>1</v>
      </c>
      <c r="M768" s="186">
        <v>3525.97</v>
      </c>
      <c r="N768" s="186">
        <v>0</v>
      </c>
      <c r="O768" s="125">
        <f t="shared" si="60"/>
        <v>3525.97</v>
      </c>
      <c r="P768" s="164"/>
      <c r="Q768" s="73">
        <f t="shared" si="64"/>
        <v>402.313177</v>
      </c>
    </row>
    <row r="769" spans="1:17" ht="14.5" hidden="1" x14ac:dyDescent="0.35">
      <c r="A769" s="184" t="s">
        <v>155</v>
      </c>
      <c r="B769" s="190" t="s">
        <v>416</v>
      </c>
      <c r="C769" s="184" t="s">
        <v>226</v>
      </c>
      <c r="D769" s="185" t="s">
        <v>287</v>
      </c>
      <c r="E769" s="185">
        <v>16765</v>
      </c>
      <c r="F769" s="185" t="s">
        <v>149</v>
      </c>
      <c r="G769" s="184">
        <v>102062</v>
      </c>
      <c r="H769" s="184" t="s">
        <v>117</v>
      </c>
      <c r="I769" s="184" t="s">
        <v>294</v>
      </c>
      <c r="J769" s="184" t="s">
        <v>295</v>
      </c>
      <c r="K769" s="184" t="s">
        <v>295</v>
      </c>
      <c r="L769" s="185">
        <v>1</v>
      </c>
      <c r="M769" s="186">
        <v>188.16</v>
      </c>
      <c r="N769" s="186">
        <v>0</v>
      </c>
      <c r="O769" s="125">
        <f t="shared" si="60"/>
        <v>188.16</v>
      </c>
      <c r="P769" s="164"/>
      <c r="Q769" s="73">
        <f t="shared" si="64"/>
        <v>21.469055999999998</v>
      </c>
    </row>
    <row r="770" spans="1:17" ht="14.5" hidden="1" x14ac:dyDescent="0.35">
      <c r="A770" s="184" t="s">
        <v>155</v>
      </c>
      <c r="B770" s="190" t="s">
        <v>416</v>
      </c>
      <c r="C770" s="184" t="s">
        <v>226</v>
      </c>
      <c r="D770" s="185" t="s">
        <v>287</v>
      </c>
      <c r="E770" s="185">
        <v>16766</v>
      </c>
      <c r="F770" s="185" t="s">
        <v>149</v>
      </c>
      <c r="G770" s="184">
        <v>103069</v>
      </c>
      <c r="H770" s="184" t="s">
        <v>225</v>
      </c>
      <c r="I770" s="184" t="s">
        <v>294</v>
      </c>
      <c r="J770" s="184" t="s">
        <v>295</v>
      </c>
      <c r="K770" s="184" t="s">
        <v>295</v>
      </c>
      <c r="L770" s="185">
        <v>1</v>
      </c>
      <c r="M770" s="186">
        <v>1466.01</v>
      </c>
      <c r="N770" s="186">
        <v>0</v>
      </c>
      <c r="O770" s="125">
        <f t="shared" si="60"/>
        <v>1466.01</v>
      </c>
      <c r="P770" s="164"/>
      <c r="Q770" s="73">
        <f t="shared" si="64"/>
        <v>167.27174099999999</v>
      </c>
    </row>
    <row r="771" spans="1:17" ht="14.5" hidden="1" x14ac:dyDescent="0.35">
      <c r="A771" s="184" t="s">
        <v>155</v>
      </c>
      <c r="B771" s="190" t="s">
        <v>416</v>
      </c>
      <c r="C771" s="184" t="s">
        <v>226</v>
      </c>
      <c r="D771" s="185" t="s">
        <v>287</v>
      </c>
      <c r="E771" s="185">
        <v>16767</v>
      </c>
      <c r="F771" s="185" t="s">
        <v>149</v>
      </c>
      <c r="G771" s="184">
        <v>104000</v>
      </c>
      <c r="H771" s="184" t="s">
        <v>114</v>
      </c>
      <c r="I771" s="184" t="s">
        <v>294</v>
      </c>
      <c r="J771" s="184" t="s">
        <v>295</v>
      </c>
      <c r="K771" s="184" t="s">
        <v>295</v>
      </c>
      <c r="L771" s="185">
        <v>1</v>
      </c>
      <c r="M771" s="186">
        <v>1900.14</v>
      </c>
      <c r="N771" s="186">
        <v>10000</v>
      </c>
      <c r="O771" s="125">
        <f t="shared" si="60"/>
        <v>-8099.86</v>
      </c>
      <c r="P771" s="164"/>
      <c r="Q771" s="73">
        <f t="shared" si="64"/>
        <v>216.80597400000002</v>
      </c>
    </row>
    <row r="772" spans="1:17" ht="14.5" hidden="1" x14ac:dyDescent="0.35">
      <c r="A772" s="184" t="s">
        <v>155</v>
      </c>
      <c r="B772" s="190" t="s">
        <v>416</v>
      </c>
      <c r="C772" s="184" t="s">
        <v>226</v>
      </c>
      <c r="D772" s="185" t="s">
        <v>287</v>
      </c>
      <c r="E772" s="185">
        <v>16768</v>
      </c>
      <c r="F772" s="185" t="s">
        <v>149</v>
      </c>
      <c r="G772" s="184">
        <v>105098</v>
      </c>
      <c r="H772" s="184" t="s">
        <v>314</v>
      </c>
      <c r="I772" s="184" t="s">
        <v>294</v>
      </c>
      <c r="J772" s="184" t="s">
        <v>391</v>
      </c>
      <c r="K772" s="184" t="s">
        <v>295</v>
      </c>
      <c r="L772" s="185">
        <v>1</v>
      </c>
      <c r="M772" s="186">
        <v>-4392</v>
      </c>
      <c r="N772" s="186">
        <v>0</v>
      </c>
      <c r="O772" s="125">
        <f t="shared" si="60"/>
        <v>-4392</v>
      </c>
      <c r="P772" s="164"/>
      <c r="Q772" s="73">
        <f t="shared" si="64"/>
        <v>-501.12720000000007</v>
      </c>
    </row>
    <row r="773" spans="1:17" ht="14.5" hidden="1" x14ac:dyDescent="0.35">
      <c r="A773" s="184" t="s">
        <v>155</v>
      </c>
      <c r="B773" s="190" t="s">
        <v>416</v>
      </c>
      <c r="C773" s="184" t="s">
        <v>226</v>
      </c>
      <c r="D773" s="185" t="s">
        <v>287</v>
      </c>
      <c r="E773" s="185">
        <v>16769</v>
      </c>
      <c r="F773" s="185" t="s">
        <v>149</v>
      </c>
      <c r="G773" s="184">
        <v>105099</v>
      </c>
      <c r="H773" s="184" t="s">
        <v>107</v>
      </c>
      <c r="I773" s="184" t="s">
        <v>294</v>
      </c>
      <c r="J773" s="184" t="s">
        <v>392</v>
      </c>
      <c r="K773" s="184" t="s">
        <v>295</v>
      </c>
      <c r="L773" s="185">
        <v>1</v>
      </c>
      <c r="M773" s="186">
        <v>4392</v>
      </c>
      <c r="N773" s="186">
        <v>0</v>
      </c>
      <c r="O773" s="125">
        <f t="shared" si="60"/>
        <v>4392</v>
      </c>
      <c r="P773" s="164"/>
      <c r="Q773" s="73">
        <f t="shared" si="64"/>
        <v>501.12720000000007</v>
      </c>
    </row>
    <row r="774" spans="1:17" ht="14.5" hidden="1" x14ac:dyDescent="0.35">
      <c r="A774" s="184" t="s">
        <v>155</v>
      </c>
      <c r="B774" s="190" t="s">
        <v>416</v>
      </c>
      <c r="C774" s="184" t="s">
        <v>226</v>
      </c>
      <c r="D774" s="185" t="s">
        <v>287</v>
      </c>
      <c r="E774" s="185">
        <v>16770</v>
      </c>
      <c r="F774" s="185" t="s">
        <v>149</v>
      </c>
      <c r="G774" s="189">
        <v>109001</v>
      </c>
      <c r="H774" s="184" t="s">
        <v>105</v>
      </c>
      <c r="I774" s="184" t="s">
        <v>294</v>
      </c>
      <c r="J774" s="184" t="s">
        <v>295</v>
      </c>
      <c r="K774" s="184" t="s">
        <v>295</v>
      </c>
      <c r="L774" s="185">
        <v>1</v>
      </c>
      <c r="M774" s="186">
        <v>97180.01</v>
      </c>
      <c r="N774" s="186">
        <v>144000</v>
      </c>
      <c r="O774" s="125">
        <f t="shared" si="60"/>
        <v>-46819.990000000005</v>
      </c>
      <c r="P774" s="164">
        <f t="shared" ref="P774:P775" si="65">M774*-1</f>
        <v>-97180.01</v>
      </c>
      <c r="Q774" s="164"/>
    </row>
    <row r="775" spans="1:17" ht="14.5" hidden="1" x14ac:dyDescent="0.35">
      <c r="A775" s="184" t="s">
        <v>155</v>
      </c>
      <c r="B775" s="190" t="s">
        <v>416</v>
      </c>
      <c r="C775" s="184" t="s">
        <v>226</v>
      </c>
      <c r="D775" s="185" t="s">
        <v>287</v>
      </c>
      <c r="E775" s="185">
        <v>16771</v>
      </c>
      <c r="F775" s="185" t="s">
        <v>149</v>
      </c>
      <c r="G775" s="189">
        <v>109001</v>
      </c>
      <c r="H775" s="184" t="s">
        <v>105</v>
      </c>
      <c r="I775" s="184" t="s">
        <v>294</v>
      </c>
      <c r="J775" s="184" t="s">
        <v>349</v>
      </c>
      <c r="K775" s="184" t="s">
        <v>295</v>
      </c>
      <c r="L775" s="185">
        <v>1</v>
      </c>
      <c r="M775" s="186">
        <v>193.26</v>
      </c>
      <c r="N775" s="186">
        <v>0</v>
      </c>
      <c r="O775" s="125">
        <f t="shared" si="60"/>
        <v>193.26</v>
      </c>
      <c r="P775" s="164">
        <f t="shared" si="65"/>
        <v>-193.26</v>
      </c>
      <c r="Q775" s="164"/>
    </row>
    <row r="776" spans="1:17" ht="14.5" hidden="1" x14ac:dyDescent="0.35">
      <c r="A776" s="184" t="s">
        <v>155</v>
      </c>
      <c r="B776" s="190" t="s">
        <v>416</v>
      </c>
      <c r="C776" s="184" t="s">
        <v>226</v>
      </c>
      <c r="D776" s="185" t="s">
        <v>287</v>
      </c>
      <c r="E776" s="185">
        <v>16772</v>
      </c>
      <c r="F776" s="185" t="s">
        <v>149</v>
      </c>
      <c r="G776" s="189">
        <v>109901</v>
      </c>
      <c r="H776" s="184" t="s">
        <v>106</v>
      </c>
      <c r="I776" s="184" t="s">
        <v>294</v>
      </c>
      <c r="J776" s="184" t="s">
        <v>295</v>
      </c>
      <c r="K776" s="184" t="s">
        <v>295</v>
      </c>
      <c r="L776" s="185">
        <v>1</v>
      </c>
      <c r="M776" s="186">
        <v>131406.85999999999</v>
      </c>
      <c r="N776" s="186">
        <v>223000</v>
      </c>
      <c r="O776" s="125">
        <f t="shared" ref="O776:O839" si="66">M776-N776</f>
        <v>-91593.140000000014</v>
      </c>
      <c r="P776" s="164"/>
    </row>
    <row r="777" spans="1:17" ht="14.5" hidden="1" x14ac:dyDescent="0.35">
      <c r="A777" s="184" t="s">
        <v>155</v>
      </c>
      <c r="B777" s="190" t="s">
        <v>416</v>
      </c>
      <c r="C777" s="184" t="s">
        <v>226</v>
      </c>
      <c r="D777" s="185" t="s">
        <v>287</v>
      </c>
      <c r="E777" s="185">
        <v>16773</v>
      </c>
      <c r="F777" s="185" t="s">
        <v>149</v>
      </c>
      <c r="G777" s="189">
        <v>109901</v>
      </c>
      <c r="H777" s="184" t="s">
        <v>106</v>
      </c>
      <c r="I777" s="184" t="s">
        <v>294</v>
      </c>
      <c r="J777" s="184" t="s">
        <v>349</v>
      </c>
      <c r="K777" s="184" t="s">
        <v>295</v>
      </c>
      <c r="L777" s="185">
        <v>1</v>
      </c>
      <c r="M777" s="186">
        <v>303.45</v>
      </c>
      <c r="N777" s="186">
        <v>0</v>
      </c>
      <c r="O777" s="125">
        <f t="shared" si="66"/>
        <v>303.45</v>
      </c>
      <c r="P777" s="164"/>
    </row>
    <row r="778" spans="1:17" ht="14.5" hidden="1" x14ac:dyDescent="0.35">
      <c r="A778" s="184" t="s">
        <v>155</v>
      </c>
      <c r="B778" s="190" t="s">
        <v>416</v>
      </c>
      <c r="C778" s="184" t="s">
        <v>226</v>
      </c>
      <c r="D778" s="185" t="s">
        <v>287</v>
      </c>
      <c r="E778" s="185">
        <v>16774</v>
      </c>
      <c r="F778" s="185" t="s">
        <v>149</v>
      </c>
      <c r="G778" s="189">
        <v>109901</v>
      </c>
      <c r="H778" s="184" t="s">
        <v>106</v>
      </c>
      <c r="I778" s="184" t="s">
        <v>294</v>
      </c>
      <c r="J778" s="184" t="s">
        <v>392</v>
      </c>
      <c r="K778" s="184" t="s">
        <v>295</v>
      </c>
      <c r="L778" s="185">
        <v>1</v>
      </c>
      <c r="M778" s="186">
        <v>619.32000000000005</v>
      </c>
      <c r="N778" s="186">
        <v>0</v>
      </c>
      <c r="O778" s="125">
        <f t="shared" si="66"/>
        <v>619.32000000000005</v>
      </c>
      <c r="P778" s="164"/>
    </row>
    <row r="779" spans="1:17" ht="14.5" hidden="1" x14ac:dyDescent="0.35">
      <c r="A779" s="184" t="s">
        <v>155</v>
      </c>
      <c r="B779" s="190" t="s">
        <v>417</v>
      </c>
      <c r="C779" s="184" t="s">
        <v>227</v>
      </c>
      <c r="D779" s="185" t="s">
        <v>287</v>
      </c>
      <c r="E779" s="185">
        <v>16821</v>
      </c>
      <c r="F779" s="185" t="s">
        <v>149</v>
      </c>
      <c r="G779" s="184">
        <v>101001</v>
      </c>
      <c r="H779" s="184" t="s">
        <v>108</v>
      </c>
      <c r="I779" s="184" t="s">
        <v>294</v>
      </c>
      <c r="J779" s="184" t="s">
        <v>295</v>
      </c>
      <c r="K779" s="184" t="s">
        <v>295</v>
      </c>
      <c r="L779" s="185">
        <v>1</v>
      </c>
      <c r="M779" s="186">
        <v>549860.6</v>
      </c>
      <c r="N779" s="186">
        <v>25000</v>
      </c>
      <c r="O779" s="125">
        <f t="shared" si="66"/>
        <v>524860.6</v>
      </c>
      <c r="P779" s="125">
        <f>M779*1.141*-1</f>
        <v>-627390.94459999993</v>
      </c>
      <c r="Q779" s="73">
        <f t="shared" ref="Q779:Q784" si="67">M779*$Q$7*1.141</f>
        <v>62739.09446</v>
      </c>
    </row>
    <row r="780" spans="1:17" ht="14.5" hidden="1" x14ac:dyDescent="0.35">
      <c r="A780" s="184" t="s">
        <v>155</v>
      </c>
      <c r="B780" s="190" t="s">
        <v>417</v>
      </c>
      <c r="C780" s="184" t="s">
        <v>227</v>
      </c>
      <c r="D780" s="185" t="s">
        <v>287</v>
      </c>
      <c r="E780" s="185">
        <v>16822</v>
      </c>
      <c r="F780" s="185" t="s">
        <v>149</v>
      </c>
      <c r="G780" s="184">
        <v>101039</v>
      </c>
      <c r="H780" s="184" t="s">
        <v>111</v>
      </c>
      <c r="I780" s="184" t="s">
        <v>294</v>
      </c>
      <c r="J780" s="184" t="s">
        <v>295</v>
      </c>
      <c r="K780" s="184" t="s">
        <v>295</v>
      </c>
      <c r="L780" s="185">
        <v>1</v>
      </c>
      <c r="M780" s="186">
        <v>21312.55</v>
      </c>
      <c r="N780" s="186">
        <v>2000</v>
      </c>
      <c r="O780" s="125">
        <f t="shared" si="66"/>
        <v>19312.55</v>
      </c>
      <c r="P780" s="164"/>
      <c r="Q780" s="73">
        <f t="shared" si="67"/>
        <v>2431.7619549999999</v>
      </c>
    </row>
    <row r="781" spans="1:17" ht="14.5" hidden="1" x14ac:dyDescent="0.35">
      <c r="A781" s="184" t="s">
        <v>155</v>
      </c>
      <c r="B781" s="190" t="s">
        <v>417</v>
      </c>
      <c r="C781" s="184" t="s">
        <v>227</v>
      </c>
      <c r="D781" s="185" t="s">
        <v>287</v>
      </c>
      <c r="E781" s="185">
        <v>16823</v>
      </c>
      <c r="F781" s="185" t="s">
        <v>149</v>
      </c>
      <c r="G781" s="184">
        <v>102062</v>
      </c>
      <c r="H781" s="184" t="s">
        <v>117</v>
      </c>
      <c r="I781" s="184" t="s">
        <v>294</v>
      </c>
      <c r="J781" s="184" t="s">
        <v>295</v>
      </c>
      <c r="K781" s="184" t="s">
        <v>295</v>
      </c>
      <c r="L781" s="185">
        <v>1</v>
      </c>
      <c r="M781" s="186">
        <v>128.02000000000001</v>
      </c>
      <c r="N781" s="186">
        <v>0</v>
      </c>
      <c r="O781" s="125">
        <f t="shared" si="66"/>
        <v>128.02000000000001</v>
      </c>
      <c r="P781" s="164"/>
      <c r="Q781" s="73">
        <f t="shared" si="67"/>
        <v>14.607082000000002</v>
      </c>
    </row>
    <row r="782" spans="1:17" ht="14.5" hidden="1" x14ac:dyDescent="0.35">
      <c r="A782" s="184" t="s">
        <v>155</v>
      </c>
      <c r="B782" s="190" t="s">
        <v>417</v>
      </c>
      <c r="C782" s="184" t="s">
        <v>227</v>
      </c>
      <c r="D782" s="185" t="s">
        <v>287</v>
      </c>
      <c r="E782" s="185">
        <v>16824</v>
      </c>
      <c r="F782" s="185" t="s">
        <v>149</v>
      </c>
      <c r="G782" s="184">
        <v>103001</v>
      </c>
      <c r="H782" s="184" t="s">
        <v>113</v>
      </c>
      <c r="I782" s="184" t="s">
        <v>294</v>
      </c>
      <c r="J782" s="184" t="s">
        <v>295</v>
      </c>
      <c r="K782" s="184" t="s">
        <v>295</v>
      </c>
      <c r="L782" s="185">
        <v>1</v>
      </c>
      <c r="M782" s="186">
        <v>2643.53</v>
      </c>
      <c r="N782" s="186">
        <v>0</v>
      </c>
      <c r="O782" s="125">
        <f t="shared" si="66"/>
        <v>2643.53</v>
      </c>
      <c r="P782" s="164"/>
      <c r="Q782" s="73">
        <f t="shared" si="67"/>
        <v>301.62677300000001</v>
      </c>
    </row>
    <row r="783" spans="1:17" ht="14.5" hidden="1" x14ac:dyDescent="0.35">
      <c r="A783" s="184" t="s">
        <v>155</v>
      </c>
      <c r="B783" s="190" t="s">
        <v>417</v>
      </c>
      <c r="C783" s="184" t="s">
        <v>227</v>
      </c>
      <c r="D783" s="185" t="s">
        <v>287</v>
      </c>
      <c r="E783" s="185">
        <v>16825</v>
      </c>
      <c r="F783" s="185" t="s">
        <v>149</v>
      </c>
      <c r="G783" s="184">
        <v>103069</v>
      </c>
      <c r="H783" s="184" t="s">
        <v>225</v>
      </c>
      <c r="I783" s="184" t="s">
        <v>294</v>
      </c>
      <c r="J783" s="184" t="s">
        <v>295</v>
      </c>
      <c r="K783" s="184" t="s">
        <v>295</v>
      </c>
      <c r="L783" s="185">
        <v>1</v>
      </c>
      <c r="M783" s="186">
        <v>2148.37</v>
      </c>
      <c r="N783" s="186">
        <v>0</v>
      </c>
      <c r="O783" s="125">
        <f t="shared" si="66"/>
        <v>2148.37</v>
      </c>
      <c r="P783" s="164"/>
      <c r="Q783" s="73">
        <f t="shared" si="67"/>
        <v>245.129017</v>
      </c>
    </row>
    <row r="784" spans="1:17" ht="14.5" hidden="1" x14ac:dyDescent="0.35">
      <c r="A784" s="184" t="s">
        <v>155</v>
      </c>
      <c r="B784" s="190" t="s">
        <v>417</v>
      </c>
      <c r="C784" s="184" t="s">
        <v>227</v>
      </c>
      <c r="D784" s="185" t="s">
        <v>287</v>
      </c>
      <c r="E784" s="185">
        <v>16826</v>
      </c>
      <c r="F784" s="185" t="s">
        <v>149</v>
      </c>
      <c r="G784" s="184">
        <v>104000</v>
      </c>
      <c r="H784" s="184" t="s">
        <v>114</v>
      </c>
      <c r="I784" s="184" t="s">
        <v>294</v>
      </c>
      <c r="J784" s="184" t="s">
        <v>295</v>
      </c>
      <c r="K784" s="184" t="s">
        <v>295</v>
      </c>
      <c r="L784" s="185">
        <v>1</v>
      </c>
      <c r="M784" s="186">
        <v>3716.7</v>
      </c>
      <c r="N784" s="186">
        <v>0</v>
      </c>
      <c r="O784" s="125">
        <f t="shared" si="66"/>
        <v>3716.7</v>
      </c>
      <c r="P784" s="164"/>
      <c r="Q784" s="73">
        <f t="shared" si="67"/>
        <v>424.07547</v>
      </c>
    </row>
    <row r="785" spans="1:17" ht="14.5" hidden="1" x14ac:dyDescent="0.35">
      <c r="A785" s="184" t="s">
        <v>155</v>
      </c>
      <c r="B785" s="190" t="s">
        <v>417</v>
      </c>
      <c r="C785" s="184" t="s">
        <v>227</v>
      </c>
      <c r="D785" s="185" t="s">
        <v>287</v>
      </c>
      <c r="E785" s="185">
        <v>16827</v>
      </c>
      <c r="F785" s="185" t="s">
        <v>149</v>
      </c>
      <c r="G785" s="189">
        <v>109001</v>
      </c>
      <c r="H785" s="184" t="s">
        <v>105</v>
      </c>
      <c r="I785" s="184" t="s">
        <v>294</v>
      </c>
      <c r="J785" s="184" t="s">
        <v>295</v>
      </c>
      <c r="K785" s="184" t="s">
        <v>295</v>
      </c>
      <c r="L785" s="185">
        <v>1</v>
      </c>
      <c r="M785" s="186">
        <v>56780.160000000003</v>
      </c>
      <c r="N785" s="186">
        <v>3000</v>
      </c>
      <c r="O785" s="125">
        <f t="shared" si="66"/>
        <v>53780.160000000003</v>
      </c>
      <c r="P785" s="164">
        <f>M785*-1</f>
        <v>-56780.160000000003</v>
      </c>
    </row>
    <row r="786" spans="1:17" ht="14.5" hidden="1" x14ac:dyDescent="0.35">
      <c r="A786" s="184" t="s">
        <v>155</v>
      </c>
      <c r="B786" s="190" t="s">
        <v>417</v>
      </c>
      <c r="C786" s="184" t="s">
        <v>227</v>
      </c>
      <c r="D786" s="185" t="s">
        <v>287</v>
      </c>
      <c r="E786" s="185">
        <v>16828</v>
      </c>
      <c r="F786" s="185" t="s">
        <v>149</v>
      </c>
      <c r="G786" s="189">
        <v>109901</v>
      </c>
      <c r="H786" s="184" t="s">
        <v>106</v>
      </c>
      <c r="I786" s="184" t="s">
        <v>294</v>
      </c>
      <c r="J786" s="184" t="s">
        <v>295</v>
      </c>
      <c r="K786" s="184" t="s">
        <v>295</v>
      </c>
      <c r="L786" s="185">
        <v>1</v>
      </c>
      <c r="M786" s="186">
        <v>89426.5</v>
      </c>
      <c r="N786" s="186">
        <v>4000</v>
      </c>
      <c r="O786" s="125">
        <f t="shared" si="66"/>
        <v>85426.5</v>
      </c>
      <c r="P786" s="164"/>
    </row>
    <row r="787" spans="1:17" ht="14.5" x14ac:dyDescent="0.35">
      <c r="A787" s="184" t="s">
        <v>155</v>
      </c>
      <c r="B787" s="184" t="s">
        <v>418</v>
      </c>
      <c r="C787" s="184" t="s">
        <v>419</v>
      </c>
      <c r="D787" s="185" t="s">
        <v>287</v>
      </c>
      <c r="E787" s="185">
        <v>16990</v>
      </c>
      <c r="F787" s="185" t="s">
        <v>149</v>
      </c>
      <c r="G787" s="184">
        <v>105001</v>
      </c>
      <c r="H787" s="184" t="s">
        <v>152</v>
      </c>
      <c r="I787" s="184" t="s">
        <v>294</v>
      </c>
      <c r="J787" s="184" t="s">
        <v>420</v>
      </c>
      <c r="K787" s="184" t="s">
        <v>295</v>
      </c>
      <c r="L787" s="185">
        <v>1</v>
      </c>
      <c r="M787" s="186">
        <v>10000</v>
      </c>
      <c r="N787" s="186">
        <v>0</v>
      </c>
      <c r="O787" s="125">
        <f t="shared" si="66"/>
        <v>10000</v>
      </c>
      <c r="P787" s="125"/>
      <c r="Q787" s="73">
        <f>M787*$Q$7*1.141</f>
        <v>1141</v>
      </c>
    </row>
    <row r="788" spans="1:17" ht="14.5" x14ac:dyDescent="0.35">
      <c r="A788" s="184" t="s">
        <v>155</v>
      </c>
      <c r="B788" s="184" t="s">
        <v>418</v>
      </c>
      <c r="C788" s="184" t="s">
        <v>419</v>
      </c>
      <c r="D788" s="185" t="s">
        <v>287</v>
      </c>
      <c r="E788" s="185">
        <v>16991</v>
      </c>
      <c r="F788" s="185" t="s">
        <v>149</v>
      </c>
      <c r="G788" s="189">
        <v>109901</v>
      </c>
      <c r="H788" s="184" t="s">
        <v>106</v>
      </c>
      <c r="I788" s="184" t="s">
        <v>294</v>
      </c>
      <c r="J788" s="184" t="s">
        <v>420</v>
      </c>
      <c r="K788" s="184" t="s">
        <v>295</v>
      </c>
      <c r="L788" s="185">
        <v>1</v>
      </c>
      <c r="M788" s="186">
        <v>1410</v>
      </c>
      <c r="N788" s="186">
        <v>0</v>
      </c>
      <c r="O788" s="125">
        <f t="shared" si="66"/>
        <v>1410</v>
      </c>
      <c r="P788" s="125"/>
    </row>
    <row r="789" spans="1:17" ht="14.5" x14ac:dyDescent="0.35">
      <c r="A789" s="184" t="s">
        <v>155</v>
      </c>
      <c r="B789" s="184" t="s">
        <v>421</v>
      </c>
      <c r="C789" s="184" t="s">
        <v>304</v>
      </c>
      <c r="D789" s="185" t="s">
        <v>303</v>
      </c>
      <c r="E789" s="185">
        <v>42791</v>
      </c>
      <c r="F789" s="185" t="s">
        <v>149</v>
      </c>
      <c r="G789" s="184">
        <v>101001</v>
      </c>
      <c r="H789" s="184" t="s">
        <v>108</v>
      </c>
      <c r="I789" s="184" t="s">
        <v>337</v>
      </c>
      <c r="J789" s="184" t="s">
        <v>295</v>
      </c>
      <c r="K789" s="184" t="s">
        <v>295</v>
      </c>
      <c r="L789" s="185">
        <v>1</v>
      </c>
      <c r="M789" s="186">
        <v>483099.79</v>
      </c>
      <c r="N789" s="186">
        <v>490000</v>
      </c>
      <c r="O789" s="125">
        <f t="shared" si="66"/>
        <v>-6900.210000000021</v>
      </c>
      <c r="P789" s="125"/>
      <c r="Q789" s="73">
        <f t="shared" ref="Q789:Q794" si="68">M789*$Q$7*1.141</f>
        <v>55121.686039</v>
      </c>
    </row>
    <row r="790" spans="1:17" ht="14.5" x14ac:dyDescent="0.35">
      <c r="A790" s="184" t="s">
        <v>155</v>
      </c>
      <c r="B790" s="184" t="s">
        <v>421</v>
      </c>
      <c r="C790" s="184" t="s">
        <v>304</v>
      </c>
      <c r="D790" s="185" t="s">
        <v>303</v>
      </c>
      <c r="E790" s="185">
        <v>42792</v>
      </c>
      <c r="F790" s="185" t="s">
        <v>149</v>
      </c>
      <c r="G790" s="184">
        <v>101039</v>
      </c>
      <c r="H790" s="184" t="s">
        <v>111</v>
      </c>
      <c r="I790" s="184" t="s">
        <v>337</v>
      </c>
      <c r="J790" s="184" t="s">
        <v>295</v>
      </c>
      <c r="K790" s="184" t="s">
        <v>362</v>
      </c>
      <c r="L790" s="185">
        <v>1</v>
      </c>
      <c r="M790" s="186">
        <v>1120</v>
      </c>
      <c r="N790" s="186">
        <v>0</v>
      </c>
      <c r="O790" s="125">
        <f t="shared" si="66"/>
        <v>1120</v>
      </c>
      <c r="P790" s="125"/>
      <c r="Q790" s="73">
        <f t="shared" si="68"/>
        <v>127.792</v>
      </c>
    </row>
    <row r="791" spans="1:17" ht="14.5" x14ac:dyDescent="0.35">
      <c r="A791" s="184" t="s">
        <v>155</v>
      </c>
      <c r="B791" s="184" t="s">
        <v>421</v>
      </c>
      <c r="C791" s="184" t="s">
        <v>304</v>
      </c>
      <c r="D791" s="185" t="s">
        <v>303</v>
      </c>
      <c r="E791" s="185">
        <v>42793</v>
      </c>
      <c r="F791" s="185" t="s">
        <v>149</v>
      </c>
      <c r="G791" s="184">
        <v>104000</v>
      </c>
      <c r="H791" s="184" t="s">
        <v>114</v>
      </c>
      <c r="I791" s="184" t="s">
        <v>337</v>
      </c>
      <c r="J791" s="184" t="s">
        <v>295</v>
      </c>
      <c r="K791" s="184" t="s">
        <v>295</v>
      </c>
      <c r="L791" s="185">
        <v>1</v>
      </c>
      <c r="M791" s="186">
        <v>2726.35</v>
      </c>
      <c r="N791" s="186">
        <v>0</v>
      </c>
      <c r="O791" s="125">
        <f t="shared" si="66"/>
        <v>2726.35</v>
      </c>
      <c r="P791" s="125"/>
      <c r="Q791" s="73">
        <f t="shared" si="68"/>
        <v>311.07653499999998</v>
      </c>
    </row>
    <row r="792" spans="1:17" ht="14.5" x14ac:dyDescent="0.35">
      <c r="A792" s="184" t="s">
        <v>155</v>
      </c>
      <c r="B792" s="184" t="s">
        <v>421</v>
      </c>
      <c r="C792" s="184" t="s">
        <v>304</v>
      </c>
      <c r="D792" s="185" t="s">
        <v>303</v>
      </c>
      <c r="E792" s="185">
        <v>42794</v>
      </c>
      <c r="F792" s="185" t="s">
        <v>149</v>
      </c>
      <c r="G792" s="184">
        <v>104000</v>
      </c>
      <c r="H792" s="184" t="s">
        <v>114</v>
      </c>
      <c r="I792" s="184" t="s">
        <v>337</v>
      </c>
      <c r="J792" s="184" t="s">
        <v>295</v>
      </c>
      <c r="K792" s="184" t="s">
        <v>362</v>
      </c>
      <c r="L792" s="185">
        <v>1</v>
      </c>
      <c r="M792" s="186">
        <v>876.33</v>
      </c>
      <c r="N792" s="186">
        <v>0</v>
      </c>
      <c r="O792" s="125">
        <f t="shared" si="66"/>
        <v>876.33</v>
      </c>
      <c r="P792" s="125"/>
      <c r="Q792" s="73">
        <f t="shared" si="68"/>
        <v>99.989253000000019</v>
      </c>
    </row>
    <row r="793" spans="1:17" ht="14.5" x14ac:dyDescent="0.35">
      <c r="A793" s="184" t="s">
        <v>155</v>
      </c>
      <c r="B793" s="184" t="s">
        <v>421</v>
      </c>
      <c r="C793" s="184" t="s">
        <v>304</v>
      </c>
      <c r="D793" s="185" t="s">
        <v>303</v>
      </c>
      <c r="E793" s="185">
        <v>42795</v>
      </c>
      <c r="F793" s="185" t="s">
        <v>149</v>
      </c>
      <c r="G793" s="184">
        <v>105098</v>
      </c>
      <c r="H793" s="184" t="s">
        <v>314</v>
      </c>
      <c r="I793" s="184" t="s">
        <v>337</v>
      </c>
      <c r="J793" s="184" t="s">
        <v>391</v>
      </c>
      <c r="K793" s="184" t="s">
        <v>295</v>
      </c>
      <c r="L793" s="185">
        <v>1</v>
      </c>
      <c r="M793" s="186">
        <v>-4392</v>
      </c>
      <c r="N793" s="186">
        <v>0</v>
      </c>
      <c r="O793" s="125">
        <f t="shared" si="66"/>
        <v>-4392</v>
      </c>
      <c r="P793" s="125"/>
      <c r="Q793" s="73">
        <f t="shared" si="68"/>
        <v>-501.12720000000007</v>
      </c>
    </row>
    <row r="794" spans="1:17" ht="14.5" x14ac:dyDescent="0.35">
      <c r="A794" s="184" t="s">
        <v>155</v>
      </c>
      <c r="B794" s="184" t="s">
        <v>421</v>
      </c>
      <c r="C794" s="184" t="s">
        <v>304</v>
      </c>
      <c r="D794" s="185" t="s">
        <v>303</v>
      </c>
      <c r="E794" s="185">
        <v>42796</v>
      </c>
      <c r="F794" s="185" t="s">
        <v>149</v>
      </c>
      <c r="G794" s="184">
        <v>105099</v>
      </c>
      <c r="H794" s="184" t="s">
        <v>107</v>
      </c>
      <c r="I794" s="184" t="s">
        <v>337</v>
      </c>
      <c r="J794" s="184" t="s">
        <v>392</v>
      </c>
      <c r="K794" s="184" t="s">
        <v>295</v>
      </c>
      <c r="L794" s="185">
        <v>1</v>
      </c>
      <c r="M794" s="186">
        <v>4392</v>
      </c>
      <c r="N794" s="186">
        <v>0</v>
      </c>
      <c r="O794" s="125">
        <f t="shared" si="66"/>
        <v>4392</v>
      </c>
      <c r="P794" s="125"/>
      <c r="Q794" s="73">
        <f t="shared" si="68"/>
        <v>501.12720000000007</v>
      </c>
    </row>
    <row r="795" spans="1:17" ht="14.5" x14ac:dyDescent="0.35">
      <c r="A795" s="184" t="s">
        <v>155</v>
      </c>
      <c r="B795" s="184" t="s">
        <v>421</v>
      </c>
      <c r="C795" s="184" t="s">
        <v>304</v>
      </c>
      <c r="D795" s="185" t="s">
        <v>303</v>
      </c>
      <c r="E795" s="185">
        <v>42797</v>
      </c>
      <c r="F795" s="185" t="s">
        <v>149</v>
      </c>
      <c r="G795" s="189">
        <v>109001</v>
      </c>
      <c r="H795" s="184" t="s">
        <v>105</v>
      </c>
      <c r="I795" s="184" t="s">
        <v>337</v>
      </c>
      <c r="J795" s="184" t="s">
        <v>295</v>
      </c>
      <c r="K795" s="184" t="s">
        <v>295</v>
      </c>
      <c r="L795" s="185">
        <v>1</v>
      </c>
      <c r="M795" s="186">
        <v>47773.32</v>
      </c>
      <c r="N795" s="186">
        <v>48000</v>
      </c>
      <c r="O795" s="125">
        <f t="shared" si="66"/>
        <v>-226.68000000000029</v>
      </c>
      <c r="P795" s="164">
        <f>M795*-1</f>
        <v>-47773.32</v>
      </c>
    </row>
    <row r="796" spans="1:17" ht="14.5" x14ac:dyDescent="0.35">
      <c r="A796" s="184" t="s">
        <v>155</v>
      </c>
      <c r="B796" s="184" t="s">
        <v>421</v>
      </c>
      <c r="C796" s="184" t="s">
        <v>304</v>
      </c>
      <c r="D796" s="185" t="s">
        <v>303</v>
      </c>
      <c r="E796" s="185">
        <v>42798</v>
      </c>
      <c r="F796" s="185" t="s">
        <v>149</v>
      </c>
      <c r="G796" s="189">
        <v>109901</v>
      </c>
      <c r="H796" s="184" t="s">
        <v>106</v>
      </c>
      <c r="I796" s="184" t="s">
        <v>337</v>
      </c>
      <c r="J796" s="184" t="s">
        <v>295</v>
      </c>
      <c r="K796" s="184" t="s">
        <v>295</v>
      </c>
      <c r="L796" s="185">
        <v>1</v>
      </c>
      <c r="M796" s="186">
        <v>75237.490000000005</v>
      </c>
      <c r="N796" s="186">
        <v>76000</v>
      </c>
      <c r="O796" s="125">
        <f t="shared" si="66"/>
        <v>-762.50999999999476</v>
      </c>
      <c r="P796" s="164"/>
    </row>
    <row r="797" spans="1:17" ht="14.5" x14ac:dyDescent="0.35">
      <c r="A797" s="184" t="s">
        <v>155</v>
      </c>
      <c r="B797" s="184" t="s">
        <v>421</v>
      </c>
      <c r="C797" s="184" t="s">
        <v>304</v>
      </c>
      <c r="D797" s="185" t="s">
        <v>303</v>
      </c>
      <c r="E797" s="185">
        <v>42799</v>
      </c>
      <c r="F797" s="185" t="s">
        <v>149</v>
      </c>
      <c r="G797" s="189">
        <v>109901</v>
      </c>
      <c r="H797" s="184" t="s">
        <v>106</v>
      </c>
      <c r="I797" s="184" t="s">
        <v>337</v>
      </c>
      <c r="J797" s="184" t="s">
        <v>295</v>
      </c>
      <c r="K797" s="184" t="s">
        <v>362</v>
      </c>
      <c r="L797" s="185">
        <v>1</v>
      </c>
      <c r="M797" s="186">
        <v>281.48</v>
      </c>
      <c r="N797" s="186">
        <v>0</v>
      </c>
      <c r="O797" s="125">
        <f t="shared" si="66"/>
        <v>281.48</v>
      </c>
      <c r="P797" s="164"/>
    </row>
    <row r="798" spans="1:17" ht="14.5" x14ac:dyDescent="0.35">
      <c r="A798" s="184" t="s">
        <v>155</v>
      </c>
      <c r="B798" s="184" t="s">
        <v>421</v>
      </c>
      <c r="C798" s="184" t="s">
        <v>304</v>
      </c>
      <c r="D798" s="185" t="s">
        <v>303</v>
      </c>
      <c r="E798" s="185">
        <v>42800</v>
      </c>
      <c r="F798" s="185" t="s">
        <v>149</v>
      </c>
      <c r="G798" s="189">
        <v>109901</v>
      </c>
      <c r="H798" s="184" t="s">
        <v>106</v>
      </c>
      <c r="I798" s="184" t="s">
        <v>337</v>
      </c>
      <c r="J798" s="184" t="s">
        <v>392</v>
      </c>
      <c r="K798" s="184" t="s">
        <v>295</v>
      </c>
      <c r="L798" s="185">
        <v>1</v>
      </c>
      <c r="M798" s="186">
        <v>619.32000000000005</v>
      </c>
      <c r="N798" s="186">
        <v>0</v>
      </c>
      <c r="O798" s="125">
        <f t="shared" si="66"/>
        <v>619.32000000000005</v>
      </c>
      <c r="P798" s="164"/>
    </row>
    <row r="799" spans="1:17" ht="14.5" x14ac:dyDescent="0.35">
      <c r="A799" s="184" t="s">
        <v>155</v>
      </c>
      <c r="B799" s="184" t="s">
        <v>422</v>
      </c>
      <c r="C799" s="184" t="s">
        <v>305</v>
      </c>
      <c r="D799" s="185" t="s">
        <v>303</v>
      </c>
      <c r="E799" s="185">
        <v>43706</v>
      </c>
      <c r="F799" s="185" t="s">
        <v>149</v>
      </c>
      <c r="G799" s="184">
        <v>101001</v>
      </c>
      <c r="H799" s="184" t="s">
        <v>108</v>
      </c>
      <c r="I799" s="184" t="s">
        <v>337</v>
      </c>
      <c r="J799" s="184" t="s">
        <v>295</v>
      </c>
      <c r="K799" s="184" t="s">
        <v>295</v>
      </c>
      <c r="L799" s="185">
        <v>1</v>
      </c>
      <c r="M799" s="186">
        <v>305557.31</v>
      </c>
      <c r="N799" s="186">
        <v>550000</v>
      </c>
      <c r="O799" s="125">
        <f t="shared" si="66"/>
        <v>-244442.69</v>
      </c>
      <c r="P799" s="125"/>
      <c r="Q799" s="73">
        <f t="shared" ref="Q799:Q802" si="69">M799*$Q$7*1.141</f>
        <v>34864.089071000002</v>
      </c>
    </row>
    <row r="800" spans="1:17" ht="14.5" x14ac:dyDescent="0.35">
      <c r="A800" s="184" t="s">
        <v>155</v>
      </c>
      <c r="B800" s="184" t="s">
        <v>422</v>
      </c>
      <c r="C800" s="184" t="s">
        <v>305</v>
      </c>
      <c r="D800" s="185" t="s">
        <v>303</v>
      </c>
      <c r="E800" s="185">
        <v>43707</v>
      </c>
      <c r="F800" s="185" t="s">
        <v>149</v>
      </c>
      <c r="G800" s="184">
        <v>101039</v>
      </c>
      <c r="H800" s="184" t="s">
        <v>111</v>
      </c>
      <c r="I800" s="184" t="s">
        <v>337</v>
      </c>
      <c r="J800" s="184" t="s">
        <v>295</v>
      </c>
      <c r="K800" s="184" t="s">
        <v>295</v>
      </c>
      <c r="L800" s="185">
        <v>1</v>
      </c>
      <c r="M800" s="186">
        <v>2286</v>
      </c>
      <c r="N800" s="186">
        <v>0</v>
      </c>
      <c r="O800" s="125">
        <f t="shared" si="66"/>
        <v>2286</v>
      </c>
      <c r="P800" s="125"/>
      <c r="Q800" s="73">
        <f t="shared" si="69"/>
        <v>260.83260000000001</v>
      </c>
    </row>
    <row r="801" spans="1:17" ht="14.5" x14ac:dyDescent="0.35">
      <c r="A801" s="184" t="s">
        <v>155</v>
      </c>
      <c r="B801" s="184" t="s">
        <v>422</v>
      </c>
      <c r="C801" s="184" t="s">
        <v>305</v>
      </c>
      <c r="D801" s="185" t="s">
        <v>303</v>
      </c>
      <c r="E801" s="185">
        <v>43708</v>
      </c>
      <c r="F801" s="185" t="s">
        <v>149</v>
      </c>
      <c r="G801" s="184">
        <v>104000</v>
      </c>
      <c r="H801" s="184" t="s">
        <v>114</v>
      </c>
      <c r="I801" s="184" t="s">
        <v>337</v>
      </c>
      <c r="J801" s="184" t="s">
        <v>295</v>
      </c>
      <c r="K801" s="184" t="s">
        <v>295</v>
      </c>
      <c r="L801" s="185">
        <v>1</v>
      </c>
      <c r="M801" s="186">
        <v>1788.66</v>
      </c>
      <c r="N801" s="186">
        <v>0</v>
      </c>
      <c r="O801" s="125">
        <f t="shared" si="66"/>
        <v>1788.66</v>
      </c>
      <c r="P801" s="125"/>
      <c r="Q801" s="73">
        <f t="shared" si="69"/>
        <v>204.08610600000003</v>
      </c>
    </row>
    <row r="802" spans="1:17" ht="14.5" x14ac:dyDescent="0.35">
      <c r="A802" s="184" t="s">
        <v>155</v>
      </c>
      <c r="B802" s="184" t="s">
        <v>422</v>
      </c>
      <c r="C802" s="184" t="s">
        <v>305</v>
      </c>
      <c r="D802" s="185" t="s">
        <v>303</v>
      </c>
      <c r="E802" s="185">
        <v>43709</v>
      </c>
      <c r="F802" s="185" t="s">
        <v>149</v>
      </c>
      <c r="G802" s="184">
        <v>105019</v>
      </c>
      <c r="H802" s="184" t="s">
        <v>115</v>
      </c>
      <c r="I802" s="184" t="s">
        <v>337</v>
      </c>
      <c r="J802" s="184" t="s">
        <v>295</v>
      </c>
      <c r="K802" s="184" t="s">
        <v>295</v>
      </c>
      <c r="L802" s="185">
        <v>1</v>
      </c>
      <c r="M802" s="186">
        <v>0</v>
      </c>
      <c r="N802" s="186">
        <v>12000</v>
      </c>
      <c r="O802" s="125">
        <f t="shared" si="66"/>
        <v>-12000</v>
      </c>
      <c r="P802" s="125"/>
      <c r="Q802" s="73">
        <f t="shared" si="69"/>
        <v>0</v>
      </c>
    </row>
    <row r="803" spans="1:17" ht="14.5" x14ac:dyDescent="0.35">
      <c r="A803" s="184" t="s">
        <v>155</v>
      </c>
      <c r="B803" s="184" t="s">
        <v>422</v>
      </c>
      <c r="C803" s="184" t="s">
        <v>305</v>
      </c>
      <c r="D803" s="185" t="s">
        <v>303</v>
      </c>
      <c r="E803" s="185">
        <v>43710</v>
      </c>
      <c r="F803" s="185" t="s">
        <v>149</v>
      </c>
      <c r="G803" s="189">
        <v>109001</v>
      </c>
      <c r="H803" s="184" t="s">
        <v>105</v>
      </c>
      <c r="I803" s="184" t="s">
        <v>337</v>
      </c>
      <c r="J803" s="184" t="s">
        <v>295</v>
      </c>
      <c r="K803" s="184" t="s">
        <v>295</v>
      </c>
      <c r="L803" s="185">
        <v>1</v>
      </c>
      <c r="M803" s="186">
        <v>31560.32</v>
      </c>
      <c r="N803" s="186">
        <v>57000</v>
      </c>
      <c r="O803" s="125">
        <f t="shared" si="66"/>
        <v>-25439.68</v>
      </c>
      <c r="P803" s="164">
        <f>M803*-1</f>
        <v>-31560.32</v>
      </c>
      <c r="Q803" s="164"/>
    </row>
    <row r="804" spans="1:17" ht="14.5" x14ac:dyDescent="0.35">
      <c r="A804" s="184" t="s">
        <v>155</v>
      </c>
      <c r="B804" s="184" t="s">
        <v>422</v>
      </c>
      <c r="C804" s="184" t="s">
        <v>305</v>
      </c>
      <c r="D804" s="185" t="s">
        <v>303</v>
      </c>
      <c r="E804" s="185">
        <v>43711</v>
      </c>
      <c r="F804" s="185" t="s">
        <v>149</v>
      </c>
      <c r="G804" s="189">
        <v>109901</v>
      </c>
      <c r="H804" s="184" t="s">
        <v>106</v>
      </c>
      <c r="I804" s="184" t="s">
        <v>337</v>
      </c>
      <c r="J804" s="184" t="s">
        <v>295</v>
      </c>
      <c r="K804" s="184" t="s">
        <v>295</v>
      </c>
      <c r="L804" s="185">
        <v>1</v>
      </c>
      <c r="M804" s="186">
        <v>47957.14</v>
      </c>
      <c r="N804" s="186">
        <v>86000</v>
      </c>
      <c r="O804" s="125">
        <f t="shared" si="66"/>
        <v>-38042.86</v>
      </c>
      <c r="P804" s="164"/>
    </row>
    <row r="805" spans="1:17" ht="14.5" x14ac:dyDescent="0.35">
      <c r="A805" s="184" t="s">
        <v>155</v>
      </c>
      <c r="B805" s="184" t="s">
        <v>424</v>
      </c>
      <c r="C805" s="184" t="s">
        <v>157</v>
      </c>
      <c r="D805" s="185" t="s">
        <v>288</v>
      </c>
      <c r="E805" s="185">
        <v>48165</v>
      </c>
      <c r="F805" s="185" t="s">
        <v>149</v>
      </c>
      <c r="G805" s="184">
        <v>101001</v>
      </c>
      <c r="H805" s="184" t="s">
        <v>108</v>
      </c>
      <c r="I805" s="184" t="s">
        <v>337</v>
      </c>
      <c r="J805" s="184" t="s">
        <v>425</v>
      </c>
      <c r="K805" s="184" t="s">
        <v>426</v>
      </c>
      <c r="L805" s="185">
        <v>1</v>
      </c>
      <c r="M805" s="186">
        <v>218864.03</v>
      </c>
      <c r="N805" s="186">
        <v>0</v>
      </c>
      <c r="O805" s="125">
        <f t="shared" si="66"/>
        <v>218864.03</v>
      </c>
      <c r="P805" s="125"/>
      <c r="Q805" s="73">
        <f t="shared" ref="Q805:Q809" si="70">M805*$Q$7*1.141</f>
        <v>24972.385823000004</v>
      </c>
    </row>
    <row r="806" spans="1:17" ht="14.5" x14ac:dyDescent="0.35">
      <c r="A806" s="184" t="s">
        <v>155</v>
      </c>
      <c r="B806" s="184" t="s">
        <v>424</v>
      </c>
      <c r="C806" s="184" t="s">
        <v>157</v>
      </c>
      <c r="D806" s="185" t="s">
        <v>288</v>
      </c>
      <c r="E806" s="185">
        <v>48166</v>
      </c>
      <c r="F806" s="185" t="s">
        <v>149</v>
      </c>
      <c r="G806" s="184">
        <v>103001</v>
      </c>
      <c r="H806" s="184" t="s">
        <v>113</v>
      </c>
      <c r="I806" s="184" t="s">
        <v>337</v>
      </c>
      <c r="J806" s="184" t="s">
        <v>425</v>
      </c>
      <c r="K806" s="184" t="s">
        <v>426</v>
      </c>
      <c r="L806" s="185">
        <v>1</v>
      </c>
      <c r="M806" s="186">
        <v>59381.95</v>
      </c>
      <c r="N806" s="186">
        <v>0</v>
      </c>
      <c r="O806" s="125">
        <f t="shared" si="66"/>
        <v>59381.95</v>
      </c>
      <c r="P806" s="125"/>
      <c r="Q806" s="73">
        <f t="shared" si="70"/>
        <v>6775.4804949999998</v>
      </c>
    </row>
    <row r="807" spans="1:17" ht="14.5" x14ac:dyDescent="0.35">
      <c r="A807" s="184" t="s">
        <v>155</v>
      </c>
      <c r="B807" s="184" t="s">
        <v>424</v>
      </c>
      <c r="C807" s="184" t="s">
        <v>157</v>
      </c>
      <c r="D807" s="185" t="s">
        <v>288</v>
      </c>
      <c r="E807" s="185">
        <v>48167</v>
      </c>
      <c r="F807" s="185" t="s">
        <v>149</v>
      </c>
      <c r="G807" s="184">
        <v>104000</v>
      </c>
      <c r="H807" s="184" t="s">
        <v>114</v>
      </c>
      <c r="I807" s="184" t="s">
        <v>337</v>
      </c>
      <c r="J807" s="184" t="s">
        <v>425</v>
      </c>
      <c r="K807" s="184" t="s">
        <v>426</v>
      </c>
      <c r="L807" s="185">
        <v>1</v>
      </c>
      <c r="M807" s="186">
        <v>13978.88</v>
      </c>
      <c r="N807" s="186">
        <v>0</v>
      </c>
      <c r="O807" s="125">
        <f t="shared" si="66"/>
        <v>13978.88</v>
      </c>
      <c r="P807" s="125"/>
      <c r="Q807" s="73">
        <f t="shared" si="70"/>
        <v>1594.9902079999999</v>
      </c>
    </row>
    <row r="808" spans="1:17" ht="14.5" x14ac:dyDescent="0.35">
      <c r="A808" s="184" t="s">
        <v>155</v>
      </c>
      <c r="B808" s="184" t="s">
        <v>424</v>
      </c>
      <c r="C808" s="184" t="s">
        <v>157</v>
      </c>
      <c r="D808" s="185" t="s">
        <v>288</v>
      </c>
      <c r="E808" s="185">
        <v>48168</v>
      </c>
      <c r="F808" s="185" t="s">
        <v>149</v>
      </c>
      <c r="G808" s="184">
        <v>105001</v>
      </c>
      <c r="H808" s="184" t="s">
        <v>152</v>
      </c>
      <c r="I808" s="184" t="s">
        <v>337</v>
      </c>
      <c r="J808" s="184" t="s">
        <v>425</v>
      </c>
      <c r="K808" s="184" t="s">
        <v>426</v>
      </c>
      <c r="L808" s="185">
        <v>1</v>
      </c>
      <c r="M808" s="186">
        <v>2624.23</v>
      </c>
      <c r="N808" s="186">
        <v>0</v>
      </c>
      <c r="O808" s="125">
        <f t="shared" si="66"/>
        <v>2624.23</v>
      </c>
      <c r="P808" s="125"/>
      <c r="Q808" s="73">
        <f t="shared" si="70"/>
        <v>299.424643</v>
      </c>
    </row>
    <row r="809" spans="1:17" ht="14.5" x14ac:dyDescent="0.35">
      <c r="A809" s="184" t="s">
        <v>155</v>
      </c>
      <c r="B809" s="184" t="s">
        <v>424</v>
      </c>
      <c r="C809" s="184" t="s">
        <v>157</v>
      </c>
      <c r="D809" s="185" t="s">
        <v>288</v>
      </c>
      <c r="E809" s="185">
        <v>48169</v>
      </c>
      <c r="F809" s="185" t="s">
        <v>149</v>
      </c>
      <c r="G809" s="184">
        <v>107001</v>
      </c>
      <c r="H809" s="184" t="s">
        <v>158</v>
      </c>
      <c r="I809" s="184" t="s">
        <v>337</v>
      </c>
      <c r="J809" s="184" t="s">
        <v>425</v>
      </c>
      <c r="K809" s="184" t="s">
        <v>426</v>
      </c>
      <c r="L809" s="185">
        <v>1</v>
      </c>
      <c r="M809" s="186">
        <v>6160.27</v>
      </c>
      <c r="N809" s="186">
        <v>0</v>
      </c>
      <c r="O809" s="125">
        <f t="shared" si="66"/>
        <v>6160.27</v>
      </c>
      <c r="P809" s="125"/>
      <c r="Q809" s="73">
        <f t="shared" si="70"/>
        <v>702.88680700000009</v>
      </c>
    </row>
    <row r="810" spans="1:17" ht="14.5" x14ac:dyDescent="0.35">
      <c r="A810" s="184" t="s">
        <v>155</v>
      </c>
      <c r="B810" s="184" t="s">
        <v>424</v>
      </c>
      <c r="C810" s="184" t="s">
        <v>157</v>
      </c>
      <c r="D810" s="185" t="s">
        <v>288</v>
      </c>
      <c r="E810" s="185">
        <v>48170</v>
      </c>
      <c r="F810" s="185" t="s">
        <v>149</v>
      </c>
      <c r="G810" s="189">
        <v>109001</v>
      </c>
      <c r="H810" s="184" t="s">
        <v>105</v>
      </c>
      <c r="I810" s="184" t="s">
        <v>337</v>
      </c>
      <c r="J810" s="184" t="s">
        <v>425</v>
      </c>
      <c r="K810" s="184" t="s">
        <v>426</v>
      </c>
      <c r="L810" s="185">
        <v>1</v>
      </c>
      <c r="M810" s="186">
        <v>26599.11</v>
      </c>
      <c r="N810" s="186">
        <v>0</v>
      </c>
      <c r="O810" s="125">
        <f t="shared" si="66"/>
        <v>26599.11</v>
      </c>
      <c r="P810" s="164">
        <f>M810*-1</f>
        <v>-26599.11</v>
      </c>
      <c r="Q810" s="164"/>
    </row>
    <row r="811" spans="1:17" ht="14.5" x14ac:dyDescent="0.35">
      <c r="A811" s="184" t="s">
        <v>155</v>
      </c>
      <c r="B811" s="184" t="s">
        <v>424</v>
      </c>
      <c r="C811" s="184" t="s">
        <v>157</v>
      </c>
      <c r="D811" s="185" t="s">
        <v>288</v>
      </c>
      <c r="E811" s="185">
        <v>48171</v>
      </c>
      <c r="F811" s="185" t="s">
        <v>149</v>
      </c>
      <c r="G811" s="189">
        <v>109901</v>
      </c>
      <c r="H811" s="184" t="s">
        <v>106</v>
      </c>
      <c r="I811" s="184" t="s">
        <v>337</v>
      </c>
      <c r="J811" s="184" t="s">
        <v>425</v>
      </c>
      <c r="K811" s="184" t="s">
        <v>426</v>
      </c>
      <c r="L811" s="185">
        <v>1</v>
      </c>
      <c r="M811" s="186">
        <v>45598.05</v>
      </c>
      <c r="N811" s="186">
        <v>0</v>
      </c>
      <c r="O811" s="125">
        <f t="shared" si="66"/>
        <v>45598.05</v>
      </c>
      <c r="P811" s="164"/>
    </row>
    <row r="812" spans="1:17" ht="14.5" x14ac:dyDescent="0.35">
      <c r="A812" s="184" t="s">
        <v>155</v>
      </c>
      <c r="B812" s="184" t="s">
        <v>427</v>
      </c>
      <c r="C812" s="184" t="s">
        <v>428</v>
      </c>
      <c r="D812" s="185" t="s">
        <v>288</v>
      </c>
      <c r="E812" s="185">
        <v>48549</v>
      </c>
      <c r="F812" s="185" t="s">
        <v>149</v>
      </c>
      <c r="G812" s="184">
        <v>101001</v>
      </c>
      <c r="H812" s="184" t="s">
        <v>108</v>
      </c>
      <c r="I812" s="184" t="s">
        <v>337</v>
      </c>
      <c r="J812" s="184" t="s">
        <v>425</v>
      </c>
      <c r="K812" s="184" t="s">
        <v>426</v>
      </c>
      <c r="L812" s="185">
        <v>1</v>
      </c>
      <c r="M812" s="186">
        <v>1267.42</v>
      </c>
      <c r="N812" s="186">
        <v>0</v>
      </c>
      <c r="O812" s="125">
        <f t="shared" si="66"/>
        <v>1267.42</v>
      </c>
      <c r="P812" s="125"/>
      <c r="Q812" s="73">
        <f t="shared" ref="Q812:Q814" si="71">M812*$Q$7*1.141</f>
        <v>144.61262200000002</v>
      </c>
    </row>
    <row r="813" spans="1:17" ht="14.5" x14ac:dyDescent="0.35">
      <c r="A813" s="184" t="s">
        <v>155</v>
      </c>
      <c r="B813" s="184" t="s">
        <v>427</v>
      </c>
      <c r="C813" s="184" t="s">
        <v>428</v>
      </c>
      <c r="D813" s="185" t="s">
        <v>288</v>
      </c>
      <c r="E813" s="185">
        <v>48550</v>
      </c>
      <c r="F813" s="185" t="s">
        <v>149</v>
      </c>
      <c r="G813" s="184">
        <v>104000</v>
      </c>
      <c r="H813" s="184" t="s">
        <v>114</v>
      </c>
      <c r="I813" s="184" t="s">
        <v>337</v>
      </c>
      <c r="J813" s="184" t="s">
        <v>425</v>
      </c>
      <c r="K813" s="184" t="s">
        <v>426</v>
      </c>
      <c r="L813" s="185">
        <v>1</v>
      </c>
      <c r="M813" s="186">
        <v>21.54</v>
      </c>
      <c r="N813" s="186">
        <v>0</v>
      </c>
      <c r="O813" s="125">
        <f t="shared" si="66"/>
        <v>21.54</v>
      </c>
      <c r="P813" s="125"/>
      <c r="Q813" s="73">
        <f t="shared" si="71"/>
        <v>2.4577139999999997</v>
      </c>
    </row>
    <row r="814" spans="1:17" ht="14.5" x14ac:dyDescent="0.35">
      <c r="A814" s="184" t="s">
        <v>155</v>
      </c>
      <c r="B814" s="184" t="s">
        <v>427</v>
      </c>
      <c r="C814" s="184" t="s">
        <v>428</v>
      </c>
      <c r="D814" s="185" t="s">
        <v>288</v>
      </c>
      <c r="E814" s="185">
        <v>48551</v>
      </c>
      <c r="F814" s="185" t="s">
        <v>149</v>
      </c>
      <c r="G814" s="184">
        <v>107001</v>
      </c>
      <c r="H814" s="184" t="s">
        <v>158</v>
      </c>
      <c r="I814" s="184" t="s">
        <v>337</v>
      </c>
      <c r="J814" s="184" t="s">
        <v>425</v>
      </c>
      <c r="K814" s="184" t="s">
        <v>426</v>
      </c>
      <c r="L814" s="185">
        <v>1</v>
      </c>
      <c r="M814" s="186">
        <v>1338.76</v>
      </c>
      <c r="N814" s="186">
        <v>0</v>
      </c>
      <c r="O814" s="125">
        <f t="shared" si="66"/>
        <v>1338.76</v>
      </c>
      <c r="P814" s="125"/>
      <c r="Q814" s="73">
        <f t="shared" si="71"/>
        <v>152.75251600000001</v>
      </c>
    </row>
    <row r="815" spans="1:17" ht="14.5" x14ac:dyDescent="0.35">
      <c r="A815" s="184" t="s">
        <v>155</v>
      </c>
      <c r="B815" s="184" t="s">
        <v>427</v>
      </c>
      <c r="C815" s="184" t="s">
        <v>428</v>
      </c>
      <c r="D815" s="185" t="s">
        <v>288</v>
      </c>
      <c r="E815" s="185">
        <v>48552</v>
      </c>
      <c r="F815" s="185" t="s">
        <v>149</v>
      </c>
      <c r="G815" s="189">
        <v>109001</v>
      </c>
      <c r="H815" s="184" t="s">
        <v>105</v>
      </c>
      <c r="I815" s="184" t="s">
        <v>337</v>
      </c>
      <c r="J815" s="184" t="s">
        <v>425</v>
      </c>
      <c r="K815" s="184" t="s">
        <v>426</v>
      </c>
      <c r="L815" s="185">
        <v>1</v>
      </c>
      <c r="M815" s="186">
        <v>210.78</v>
      </c>
      <c r="N815" s="186">
        <v>0</v>
      </c>
      <c r="O815" s="125">
        <f t="shared" si="66"/>
        <v>210.78</v>
      </c>
      <c r="P815" s="164">
        <f>M815*-1</f>
        <v>-210.78</v>
      </c>
    </row>
    <row r="816" spans="1:17" ht="14.5" x14ac:dyDescent="0.35">
      <c r="A816" s="184" t="s">
        <v>155</v>
      </c>
      <c r="B816" s="184" t="s">
        <v>427</v>
      </c>
      <c r="C816" s="184" t="s">
        <v>428</v>
      </c>
      <c r="D816" s="185" t="s">
        <v>288</v>
      </c>
      <c r="E816" s="185">
        <v>48553</v>
      </c>
      <c r="F816" s="185" t="s">
        <v>149</v>
      </c>
      <c r="G816" s="189">
        <v>109901</v>
      </c>
      <c r="H816" s="184" t="s">
        <v>106</v>
      </c>
      <c r="I816" s="184" t="s">
        <v>337</v>
      </c>
      <c r="J816" s="184" t="s">
        <v>425</v>
      </c>
      <c r="K816" s="184" t="s">
        <v>426</v>
      </c>
      <c r="L816" s="185">
        <v>1</v>
      </c>
      <c r="M816" s="186">
        <v>388.09</v>
      </c>
      <c r="N816" s="186">
        <v>0</v>
      </c>
      <c r="O816" s="125">
        <f t="shared" si="66"/>
        <v>388.09</v>
      </c>
      <c r="P816" s="164"/>
    </row>
    <row r="817" spans="1:17" ht="14.5" x14ac:dyDescent="0.35">
      <c r="A817" s="184" t="s">
        <v>155</v>
      </c>
      <c r="B817" s="184" t="s">
        <v>429</v>
      </c>
      <c r="C817" s="184" t="s">
        <v>430</v>
      </c>
      <c r="D817" s="185" t="s">
        <v>288</v>
      </c>
      <c r="E817" s="185">
        <v>48812</v>
      </c>
      <c r="F817" s="185" t="s">
        <v>149</v>
      </c>
      <c r="G817" s="184">
        <v>101001</v>
      </c>
      <c r="H817" s="184" t="s">
        <v>108</v>
      </c>
      <c r="I817" s="184" t="s">
        <v>337</v>
      </c>
      <c r="J817" s="184" t="s">
        <v>425</v>
      </c>
      <c r="K817" s="184" t="s">
        <v>426</v>
      </c>
      <c r="L817" s="185">
        <v>1</v>
      </c>
      <c r="M817" s="186">
        <v>42975.72</v>
      </c>
      <c r="N817" s="186">
        <v>0</v>
      </c>
      <c r="O817" s="125">
        <f t="shared" si="66"/>
        <v>42975.72</v>
      </c>
      <c r="P817" s="125"/>
      <c r="Q817" s="73">
        <f t="shared" ref="Q817:Q821" si="72">M817*$Q$7*1.141</f>
        <v>4903.5296520000002</v>
      </c>
    </row>
    <row r="818" spans="1:17" ht="14.5" x14ac:dyDescent="0.35">
      <c r="A818" s="184" t="s">
        <v>155</v>
      </c>
      <c r="B818" s="184" t="s">
        <v>429</v>
      </c>
      <c r="C818" s="184" t="s">
        <v>430</v>
      </c>
      <c r="D818" s="185" t="s">
        <v>288</v>
      </c>
      <c r="E818" s="185">
        <v>48813</v>
      </c>
      <c r="F818" s="185" t="s">
        <v>149</v>
      </c>
      <c r="G818" s="184">
        <v>103001</v>
      </c>
      <c r="H818" s="184" t="s">
        <v>113</v>
      </c>
      <c r="I818" s="184" t="s">
        <v>337</v>
      </c>
      <c r="J818" s="184" t="s">
        <v>425</v>
      </c>
      <c r="K818" s="184" t="s">
        <v>426</v>
      </c>
      <c r="L818" s="185">
        <v>1</v>
      </c>
      <c r="M818" s="186">
        <v>40.86</v>
      </c>
      <c r="N818" s="186">
        <v>0</v>
      </c>
      <c r="O818" s="125">
        <f t="shared" si="66"/>
        <v>40.86</v>
      </c>
      <c r="P818" s="125"/>
      <c r="Q818" s="73">
        <f t="shared" si="72"/>
        <v>4.6621260000000007</v>
      </c>
    </row>
    <row r="819" spans="1:17" ht="14.5" x14ac:dyDescent="0.35">
      <c r="A819" s="184" t="s">
        <v>155</v>
      </c>
      <c r="B819" s="184" t="s">
        <v>429</v>
      </c>
      <c r="C819" s="184" t="s">
        <v>430</v>
      </c>
      <c r="D819" s="185" t="s">
        <v>288</v>
      </c>
      <c r="E819" s="185">
        <v>48814</v>
      </c>
      <c r="F819" s="185" t="s">
        <v>149</v>
      </c>
      <c r="G819" s="184">
        <v>104000</v>
      </c>
      <c r="H819" s="184" t="s">
        <v>114</v>
      </c>
      <c r="I819" s="184" t="s">
        <v>337</v>
      </c>
      <c r="J819" s="184" t="s">
        <v>425</v>
      </c>
      <c r="K819" s="184" t="s">
        <v>426</v>
      </c>
      <c r="L819" s="185">
        <v>1</v>
      </c>
      <c r="M819" s="186">
        <v>804.88</v>
      </c>
      <c r="N819" s="186">
        <v>0</v>
      </c>
      <c r="O819" s="125">
        <f t="shared" si="66"/>
        <v>804.88</v>
      </c>
      <c r="P819" s="125"/>
      <c r="Q819" s="73">
        <f t="shared" si="72"/>
        <v>91.836808000000005</v>
      </c>
    </row>
    <row r="820" spans="1:17" ht="14.5" x14ac:dyDescent="0.35">
      <c r="A820" s="184" t="s">
        <v>155</v>
      </c>
      <c r="B820" s="184" t="s">
        <v>429</v>
      </c>
      <c r="C820" s="184" t="s">
        <v>430</v>
      </c>
      <c r="D820" s="185" t="s">
        <v>288</v>
      </c>
      <c r="E820" s="185">
        <v>48815</v>
      </c>
      <c r="F820" s="185" t="s">
        <v>149</v>
      </c>
      <c r="G820" s="184">
        <v>105001</v>
      </c>
      <c r="H820" s="184" t="s">
        <v>152</v>
      </c>
      <c r="I820" s="184" t="s">
        <v>337</v>
      </c>
      <c r="J820" s="184" t="s">
        <v>425</v>
      </c>
      <c r="K820" s="184" t="s">
        <v>426</v>
      </c>
      <c r="L820" s="185">
        <v>1</v>
      </c>
      <c r="M820" s="186">
        <v>16.84</v>
      </c>
      <c r="N820" s="186">
        <v>0</v>
      </c>
      <c r="O820" s="125">
        <f t="shared" si="66"/>
        <v>16.84</v>
      </c>
      <c r="P820" s="125"/>
      <c r="Q820" s="73">
        <f t="shared" si="72"/>
        <v>1.9214440000000002</v>
      </c>
    </row>
    <row r="821" spans="1:17" ht="14.5" x14ac:dyDescent="0.35">
      <c r="A821" s="184" t="s">
        <v>155</v>
      </c>
      <c r="B821" s="184" t="s">
        <v>429</v>
      </c>
      <c r="C821" s="184" t="s">
        <v>430</v>
      </c>
      <c r="D821" s="185" t="s">
        <v>288</v>
      </c>
      <c r="E821" s="185">
        <v>48816</v>
      </c>
      <c r="F821" s="185" t="s">
        <v>149</v>
      </c>
      <c r="G821" s="184">
        <v>107001</v>
      </c>
      <c r="H821" s="184" t="s">
        <v>158</v>
      </c>
      <c r="I821" s="184" t="s">
        <v>337</v>
      </c>
      <c r="J821" s="184" t="s">
        <v>425</v>
      </c>
      <c r="K821" s="184" t="s">
        <v>426</v>
      </c>
      <c r="L821" s="185">
        <v>1</v>
      </c>
      <c r="M821" s="186">
        <v>44221.09</v>
      </c>
      <c r="N821" s="186">
        <v>0</v>
      </c>
      <c r="O821" s="125">
        <f t="shared" si="66"/>
        <v>44221.09</v>
      </c>
      <c r="P821" s="125"/>
      <c r="Q821" s="73">
        <f t="shared" si="72"/>
        <v>5045.6263689999996</v>
      </c>
    </row>
    <row r="822" spans="1:17" ht="14.5" x14ac:dyDescent="0.35">
      <c r="A822" s="184" t="s">
        <v>155</v>
      </c>
      <c r="B822" s="184" t="s">
        <v>429</v>
      </c>
      <c r="C822" s="184" t="s">
        <v>430</v>
      </c>
      <c r="D822" s="185" t="s">
        <v>288</v>
      </c>
      <c r="E822" s="185">
        <v>48817</v>
      </c>
      <c r="F822" s="185" t="s">
        <v>149</v>
      </c>
      <c r="G822" s="189">
        <v>109001</v>
      </c>
      <c r="H822" s="184" t="s">
        <v>105</v>
      </c>
      <c r="I822" s="184" t="s">
        <v>337</v>
      </c>
      <c r="J822" s="184" t="s">
        <v>425</v>
      </c>
      <c r="K822" s="184" t="s">
        <v>426</v>
      </c>
      <c r="L822" s="185">
        <v>1</v>
      </c>
      <c r="M822" s="186">
        <v>6851.22</v>
      </c>
      <c r="N822" s="186">
        <v>0</v>
      </c>
      <c r="O822" s="125">
        <f t="shared" si="66"/>
        <v>6851.22</v>
      </c>
      <c r="P822" s="164">
        <f>M822*-1</f>
        <v>-6851.22</v>
      </c>
    </row>
    <row r="823" spans="1:17" ht="14.5" x14ac:dyDescent="0.35">
      <c r="A823" s="184" t="s">
        <v>155</v>
      </c>
      <c r="B823" s="184" t="s">
        <v>429</v>
      </c>
      <c r="C823" s="184" t="s">
        <v>430</v>
      </c>
      <c r="D823" s="185" t="s">
        <v>288</v>
      </c>
      <c r="E823" s="185">
        <v>48818</v>
      </c>
      <c r="F823" s="185" t="s">
        <v>149</v>
      </c>
      <c r="G823" s="189">
        <v>109901</v>
      </c>
      <c r="H823" s="184" t="s">
        <v>106</v>
      </c>
      <c r="I823" s="184" t="s">
        <v>337</v>
      </c>
      <c r="J823" s="184" t="s">
        <v>425</v>
      </c>
      <c r="K823" s="184" t="s">
        <v>426</v>
      </c>
      <c r="L823" s="185">
        <v>1</v>
      </c>
      <c r="M823" s="186">
        <v>13016.18</v>
      </c>
      <c r="N823" s="186">
        <v>0</v>
      </c>
      <c r="O823" s="125">
        <f t="shared" si="66"/>
        <v>13016.18</v>
      </c>
      <c r="P823" s="164"/>
    </row>
    <row r="824" spans="1:17" ht="14.5" x14ac:dyDescent="0.35">
      <c r="A824" s="184" t="s">
        <v>155</v>
      </c>
      <c r="B824" s="184" t="s">
        <v>431</v>
      </c>
      <c r="C824" s="184" t="s">
        <v>306</v>
      </c>
      <c r="D824" s="185" t="s">
        <v>288</v>
      </c>
      <c r="E824" s="185">
        <v>49324</v>
      </c>
      <c r="F824" s="185" t="s">
        <v>149</v>
      </c>
      <c r="G824" s="184">
        <v>101001</v>
      </c>
      <c r="H824" s="184" t="s">
        <v>108</v>
      </c>
      <c r="I824" s="184" t="s">
        <v>337</v>
      </c>
      <c r="J824" s="184" t="s">
        <v>425</v>
      </c>
      <c r="K824" s="184" t="s">
        <v>426</v>
      </c>
      <c r="L824" s="185">
        <v>1</v>
      </c>
      <c r="M824" s="186">
        <v>6268.66</v>
      </c>
      <c r="N824" s="186">
        <v>0</v>
      </c>
      <c r="O824" s="125">
        <f t="shared" si="66"/>
        <v>6268.66</v>
      </c>
      <c r="P824" s="125"/>
      <c r="Q824" s="73">
        <f t="shared" ref="Q824:Q826" si="73">M824*$Q$7*1.141</f>
        <v>715.25410599999998</v>
      </c>
    </row>
    <row r="825" spans="1:17" ht="14.5" x14ac:dyDescent="0.35">
      <c r="A825" s="184" t="s">
        <v>155</v>
      </c>
      <c r="B825" s="184" t="s">
        <v>431</v>
      </c>
      <c r="C825" s="184" t="s">
        <v>306</v>
      </c>
      <c r="D825" s="185" t="s">
        <v>288</v>
      </c>
      <c r="E825" s="185">
        <v>49325</v>
      </c>
      <c r="F825" s="185" t="s">
        <v>149</v>
      </c>
      <c r="G825" s="184">
        <v>104000</v>
      </c>
      <c r="H825" s="184" t="s">
        <v>114</v>
      </c>
      <c r="I825" s="184" t="s">
        <v>337</v>
      </c>
      <c r="J825" s="184" t="s">
        <v>425</v>
      </c>
      <c r="K825" s="184" t="s">
        <v>426</v>
      </c>
      <c r="L825" s="185">
        <v>1</v>
      </c>
      <c r="M825" s="186">
        <v>30.46</v>
      </c>
      <c r="N825" s="186">
        <v>0</v>
      </c>
      <c r="O825" s="125">
        <f t="shared" si="66"/>
        <v>30.46</v>
      </c>
      <c r="P825" s="125"/>
      <c r="Q825" s="73">
        <f t="shared" si="73"/>
        <v>3.4754860000000005</v>
      </c>
    </row>
    <row r="826" spans="1:17" ht="14.5" x14ac:dyDescent="0.35">
      <c r="A826" s="184" t="s">
        <v>155</v>
      </c>
      <c r="B826" s="184" t="s">
        <v>431</v>
      </c>
      <c r="C826" s="184" t="s">
        <v>306</v>
      </c>
      <c r="D826" s="185" t="s">
        <v>288</v>
      </c>
      <c r="E826" s="185">
        <v>49326</v>
      </c>
      <c r="F826" s="185" t="s">
        <v>149</v>
      </c>
      <c r="G826" s="184">
        <v>107001</v>
      </c>
      <c r="H826" s="184" t="s">
        <v>158</v>
      </c>
      <c r="I826" s="184" t="s">
        <v>337</v>
      </c>
      <c r="J826" s="184" t="s">
        <v>425</v>
      </c>
      <c r="K826" s="184" t="s">
        <v>426</v>
      </c>
      <c r="L826" s="185">
        <v>1</v>
      </c>
      <c r="M826" s="186">
        <v>8297.9</v>
      </c>
      <c r="N826" s="186">
        <v>0</v>
      </c>
      <c r="O826" s="125">
        <f t="shared" si="66"/>
        <v>8297.9</v>
      </c>
      <c r="P826" s="125"/>
      <c r="Q826" s="73">
        <f t="shared" si="73"/>
        <v>946.79039</v>
      </c>
    </row>
    <row r="827" spans="1:17" ht="14.5" x14ac:dyDescent="0.35">
      <c r="A827" s="184" t="s">
        <v>155</v>
      </c>
      <c r="B827" s="184" t="s">
        <v>431</v>
      </c>
      <c r="C827" s="184" t="s">
        <v>306</v>
      </c>
      <c r="D827" s="185" t="s">
        <v>288</v>
      </c>
      <c r="E827" s="185">
        <v>49327</v>
      </c>
      <c r="F827" s="185" t="s">
        <v>149</v>
      </c>
      <c r="G827" s="189">
        <v>109001</v>
      </c>
      <c r="H827" s="184" t="s">
        <v>105</v>
      </c>
      <c r="I827" s="184" t="s">
        <v>337</v>
      </c>
      <c r="J827" s="184" t="s">
        <v>425</v>
      </c>
      <c r="K827" s="184" t="s">
        <v>426</v>
      </c>
      <c r="L827" s="185">
        <v>1</v>
      </c>
      <c r="M827" s="187">
        <v>1395.29</v>
      </c>
      <c r="N827" s="186">
        <v>0</v>
      </c>
      <c r="O827" s="125">
        <f t="shared" si="66"/>
        <v>1395.29</v>
      </c>
      <c r="P827" s="164">
        <f>M827*-1</f>
        <v>-1395.29</v>
      </c>
    </row>
    <row r="828" spans="1:17" ht="14.5" x14ac:dyDescent="0.35">
      <c r="A828" s="184" t="s">
        <v>155</v>
      </c>
      <c r="B828" s="184" t="s">
        <v>431</v>
      </c>
      <c r="C828" s="184" t="s">
        <v>306</v>
      </c>
      <c r="D828" s="185" t="s">
        <v>288</v>
      </c>
      <c r="E828" s="185">
        <v>49328</v>
      </c>
      <c r="F828" s="185" t="s">
        <v>149</v>
      </c>
      <c r="G828" s="189">
        <v>109901</v>
      </c>
      <c r="H828" s="184" t="s">
        <v>106</v>
      </c>
      <c r="I828" s="184" t="s">
        <v>337</v>
      </c>
      <c r="J828" s="184" t="s">
        <v>425</v>
      </c>
      <c r="K828" s="184" t="s">
        <v>426</v>
      </c>
      <c r="L828" s="185">
        <v>1</v>
      </c>
      <c r="M828" s="187">
        <v>2217.6</v>
      </c>
      <c r="N828" s="186">
        <v>0</v>
      </c>
      <c r="O828" s="125">
        <f t="shared" si="66"/>
        <v>2217.6</v>
      </c>
      <c r="P828" s="164"/>
    </row>
    <row r="829" spans="1:17" ht="14.5" x14ac:dyDescent="0.35">
      <c r="A829" s="184" t="s">
        <v>155</v>
      </c>
      <c r="B829" s="184" t="s">
        <v>432</v>
      </c>
      <c r="C829" s="184" t="s">
        <v>433</v>
      </c>
      <c r="D829" s="185" t="s">
        <v>288</v>
      </c>
      <c r="E829" s="185">
        <v>49663</v>
      </c>
      <c r="F829" s="185" t="s">
        <v>149</v>
      </c>
      <c r="G829" s="184">
        <v>107001</v>
      </c>
      <c r="H829" s="184" t="s">
        <v>158</v>
      </c>
      <c r="I829" s="184" t="s">
        <v>337</v>
      </c>
      <c r="J829" s="184" t="s">
        <v>425</v>
      </c>
      <c r="K829" s="184" t="s">
        <v>426</v>
      </c>
      <c r="L829" s="185">
        <v>1</v>
      </c>
      <c r="M829" s="187">
        <v>29.84</v>
      </c>
      <c r="N829" s="186">
        <v>0</v>
      </c>
      <c r="O829" s="125">
        <f t="shared" si="66"/>
        <v>29.84</v>
      </c>
      <c r="P829" s="125"/>
      <c r="Q829" s="73">
        <f t="shared" ref="Q829:Q832" si="74">M829*$Q$7*1.141</f>
        <v>3.404744</v>
      </c>
    </row>
    <row r="830" spans="1:17" ht="14.5" x14ac:dyDescent="0.35">
      <c r="A830" s="184" t="s">
        <v>155</v>
      </c>
      <c r="B830" s="184" t="s">
        <v>434</v>
      </c>
      <c r="C830" s="184" t="s">
        <v>435</v>
      </c>
      <c r="D830" s="185" t="s">
        <v>288</v>
      </c>
      <c r="E830" s="185">
        <v>50062</v>
      </c>
      <c r="F830" s="185" t="s">
        <v>149</v>
      </c>
      <c r="G830" s="184">
        <v>101001</v>
      </c>
      <c r="H830" s="184" t="s">
        <v>108</v>
      </c>
      <c r="I830" s="184" t="s">
        <v>337</v>
      </c>
      <c r="J830" s="184" t="s">
        <v>295</v>
      </c>
      <c r="K830" s="184" t="s">
        <v>295</v>
      </c>
      <c r="L830" s="185">
        <v>1</v>
      </c>
      <c r="M830" s="187">
        <v>91414.64</v>
      </c>
      <c r="N830" s="186">
        <v>0</v>
      </c>
      <c r="O830" s="125">
        <f t="shared" si="66"/>
        <v>91414.64</v>
      </c>
      <c r="P830" s="164"/>
      <c r="Q830" s="73">
        <f t="shared" si="74"/>
        <v>10430.410424</v>
      </c>
    </row>
    <row r="831" spans="1:17" ht="14.5" x14ac:dyDescent="0.35">
      <c r="A831" s="184" t="s">
        <v>155</v>
      </c>
      <c r="B831" s="184" t="s">
        <v>434</v>
      </c>
      <c r="C831" s="184" t="s">
        <v>435</v>
      </c>
      <c r="D831" s="185" t="s">
        <v>288</v>
      </c>
      <c r="E831" s="185">
        <v>50063</v>
      </c>
      <c r="F831" s="185" t="s">
        <v>149</v>
      </c>
      <c r="G831" s="184">
        <v>105001</v>
      </c>
      <c r="H831" s="184" t="s">
        <v>152</v>
      </c>
      <c r="I831" s="184" t="s">
        <v>337</v>
      </c>
      <c r="J831" s="184" t="s">
        <v>295</v>
      </c>
      <c r="K831" s="184" t="s">
        <v>295</v>
      </c>
      <c r="L831" s="185">
        <v>1</v>
      </c>
      <c r="M831" s="187">
        <v>434.6</v>
      </c>
      <c r="N831" s="186">
        <v>0</v>
      </c>
      <c r="O831" s="125">
        <f t="shared" si="66"/>
        <v>434.6</v>
      </c>
      <c r="P831" s="164"/>
      <c r="Q831" s="73">
        <f t="shared" si="74"/>
        <v>49.587860000000006</v>
      </c>
    </row>
    <row r="832" spans="1:17" ht="14.5" x14ac:dyDescent="0.35">
      <c r="A832" s="184" t="s">
        <v>155</v>
      </c>
      <c r="B832" s="184" t="s">
        <v>434</v>
      </c>
      <c r="C832" s="184" t="s">
        <v>435</v>
      </c>
      <c r="D832" s="185" t="s">
        <v>288</v>
      </c>
      <c r="E832" s="185">
        <v>50064</v>
      </c>
      <c r="F832" s="185" t="s">
        <v>149</v>
      </c>
      <c r="G832" s="184">
        <v>107001</v>
      </c>
      <c r="H832" s="184" t="s">
        <v>158</v>
      </c>
      <c r="I832" s="184" t="s">
        <v>337</v>
      </c>
      <c r="J832" s="184" t="s">
        <v>295</v>
      </c>
      <c r="K832" s="184" t="s">
        <v>295</v>
      </c>
      <c r="L832" s="185">
        <v>1</v>
      </c>
      <c r="M832" s="187">
        <v>20276.900000000001</v>
      </c>
      <c r="N832" s="186">
        <v>0</v>
      </c>
      <c r="O832" s="125">
        <f t="shared" si="66"/>
        <v>20276.900000000001</v>
      </c>
      <c r="P832" s="164"/>
      <c r="Q832" s="73">
        <f t="shared" si="74"/>
        <v>2313.5942900000005</v>
      </c>
    </row>
    <row r="833" spans="1:17" ht="14.5" x14ac:dyDescent="0.35">
      <c r="A833" s="184" t="s">
        <v>155</v>
      </c>
      <c r="B833" s="184" t="s">
        <v>434</v>
      </c>
      <c r="C833" s="184" t="s">
        <v>435</v>
      </c>
      <c r="D833" s="185" t="s">
        <v>288</v>
      </c>
      <c r="E833" s="185">
        <v>50065</v>
      </c>
      <c r="F833" s="185" t="s">
        <v>149</v>
      </c>
      <c r="G833" s="189">
        <v>109001</v>
      </c>
      <c r="H833" s="184" t="s">
        <v>105</v>
      </c>
      <c r="I833" s="184" t="s">
        <v>337</v>
      </c>
      <c r="J833" s="184" t="s">
        <v>295</v>
      </c>
      <c r="K833" s="184" t="s">
        <v>295</v>
      </c>
      <c r="L833" s="185">
        <v>1</v>
      </c>
      <c r="M833" s="187">
        <v>10832.71</v>
      </c>
      <c r="N833" s="186">
        <v>0</v>
      </c>
      <c r="O833" s="125">
        <f t="shared" si="66"/>
        <v>10832.71</v>
      </c>
      <c r="P833" s="164">
        <f>M833*-1</f>
        <v>-10832.71</v>
      </c>
    </row>
    <row r="834" spans="1:17" ht="14.5" x14ac:dyDescent="0.35">
      <c r="A834" s="184" t="s">
        <v>155</v>
      </c>
      <c r="B834" s="184" t="s">
        <v>434</v>
      </c>
      <c r="C834" s="184" t="s">
        <v>435</v>
      </c>
      <c r="D834" s="185" t="s">
        <v>288</v>
      </c>
      <c r="E834" s="185">
        <v>50066</v>
      </c>
      <c r="F834" s="185" t="s">
        <v>149</v>
      </c>
      <c r="G834" s="189">
        <v>109901</v>
      </c>
      <c r="H834" s="184" t="s">
        <v>106</v>
      </c>
      <c r="I834" s="184" t="s">
        <v>337</v>
      </c>
      <c r="J834" s="184" t="s">
        <v>295</v>
      </c>
      <c r="K834" s="184" t="s">
        <v>295</v>
      </c>
      <c r="L834" s="185">
        <v>1</v>
      </c>
      <c r="M834" s="187">
        <v>17407</v>
      </c>
      <c r="N834" s="186">
        <v>0</v>
      </c>
      <c r="O834" s="125">
        <f t="shared" si="66"/>
        <v>17407</v>
      </c>
      <c r="P834" s="164"/>
    </row>
    <row r="835" spans="1:17" ht="14.5" x14ac:dyDescent="0.35">
      <c r="A835" s="184" t="s">
        <v>155</v>
      </c>
      <c r="B835" s="184" t="s">
        <v>436</v>
      </c>
      <c r="C835" s="184" t="s">
        <v>228</v>
      </c>
      <c r="D835" s="185" t="s">
        <v>288</v>
      </c>
      <c r="E835" s="185">
        <v>50739</v>
      </c>
      <c r="F835" s="185" t="s">
        <v>149</v>
      </c>
      <c r="G835" s="184">
        <v>101001</v>
      </c>
      <c r="H835" s="184" t="s">
        <v>108</v>
      </c>
      <c r="I835" s="184" t="s">
        <v>337</v>
      </c>
      <c r="J835" s="184" t="s">
        <v>295</v>
      </c>
      <c r="K835" s="184" t="s">
        <v>423</v>
      </c>
      <c r="L835" s="185">
        <v>1</v>
      </c>
      <c r="M835" s="187">
        <v>8771.7800000000007</v>
      </c>
      <c r="N835" s="186">
        <v>0</v>
      </c>
      <c r="O835" s="125">
        <f t="shared" si="66"/>
        <v>8771.7800000000007</v>
      </c>
      <c r="P835" s="125"/>
      <c r="Q835" s="73">
        <f t="shared" ref="Q835:Q898" si="75">M835*$Q$7*1.141</f>
        <v>1000.8600980000001</v>
      </c>
    </row>
    <row r="836" spans="1:17" ht="14.5" x14ac:dyDescent="0.35">
      <c r="A836" s="184" t="s">
        <v>155</v>
      </c>
      <c r="B836" s="184" t="s">
        <v>436</v>
      </c>
      <c r="C836" s="184" t="s">
        <v>228</v>
      </c>
      <c r="D836" s="185" t="s">
        <v>288</v>
      </c>
      <c r="E836" s="185">
        <v>50741</v>
      </c>
      <c r="F836" s="185" t="s">
        <v>149</v>
      </c>
      <c r="G836" s="184">
        <v>101001</v>
      </c>
      <c r="H836" s="184" t="s">
        <v>108</v>
      </c>
      <c r="I836" s="184" t="s">
        <v>337</v>
      </c>
      <c r="J836" s="184" t="s">
        <v>295</v>
      </c>
      <c r="K836" s="184" t="s">
        <v>353</v>
      </c>
      <c r="L836" s="185">
        <v>1</v>
      </c>
      <c r="M836" s="187">
        <v>22656.91</v>
      </c>
      <c r="N836" s="186">
        <v>0</v>
      </c>
      <c r="O836" s="125">
        <f t="shared" si="66"/>
        <v>22656.91</v>
      </c>
      <c r="P836" s="125"/>
      <c r="Q836" s="73">
        <f t="shared" si="75"/>
        <v>2585.1534310000002</v>
      </c>
    </row>
    <row r="837" spans="1:17" ht="14.5" x14ac:dyDescent="0.35">
      <c r="A837" s="184" t="s">
        <v>155</v>
      </c>
      <c r="B837" s="184" t="s">
        <v>436</v>
      </c>
      <c r="C837" s="184" t="s">
        <v>228</v>
      </c>
      <c r="D837" s="185" t="s">
        <v>288</v>
      </c>
      <c r="E837" s="185">
        <v>50742</v>
      </c>
      <c r="F837" s="185" t="s">
        <v>149</v>
      </c>
      <c r="G837" s="184">
        <v>101001</v>
      </c>
      <c r="H837" s="184" t="s">
        <v>108</v>
      </c>
      <c r="I837" s="184" t="s">
        <v>337</v>
      </c>
      <c r="J837" s="184" t="s">
        <v>295</v>
      </c>
      <c r="K837" s="184" t="s">
        <v>354</v>
      </c>
      <c r="L837" s="185">
        <v>1</v>
      </c>
      <c r="M837" s="186">
        <v>28836.07</v>
      </c>
      <c r="N837" s="186">
        <v>0</v>
      </c>
      <c r="O837" s="125">
        <f t="shared" si="66"/>
        <v>28836.07</v>
      </c>
      <c r="P837" s="125"/>
      <c r="Q837" s="73">
        <f t="shared" si="75"/>
        <v>3290.1955870000002</v>
      </c>
    </row>
    <row r="838" spans="1:17" ht="14.5" x14ac:dyDescent="0.35">
      <c r="A838" s="184" t="s">
        <v>155</v>
      </c>
      <c r="B838" s="184" t="s">
        <v>436</v>
      </c>
      <c r="C838" s="184" t="s">
        <v>228</v>
      </c>
      <c r="D838" s="185" t="s">
        <v>288</v>
      </c>
      <c r="E838" s="185">
        <v>50743</v>
      </c>
      <c r="F838" s="185" t="s">
        <v>149</v>
      </c>
      <c r="G838" s="184">
        <v>101001</v>
      </c>
      <c r="H838" s="184" t="s">
        <v>108</v>
      </c>
      <c r="I838" s="184" t="s">
        <v>337</v>
      </c>
      <c r="J838" s="184" t="s">
        <v>295</v>
      </c>
      <c r="K838" s="184" t="s">
        <v>355</v>
      </c>
      <c r="L838" s="185">
        <v>1</v>
      </c>
      <c r="M838" s="186">
        <v>20597.2</v>
      </c>
      <c r="N838" s="186">
        <v>0</v>
      </c>
      <c r="O838" s="125">
        <f t="shared" si="66"/>
        <v>20597.2</v>
      </c>
      <c r="P838" s="125"/>
      <c r="Q838" s="73">
        <f t="shared" si="75"/>
        <v>2350.1405200000004</v>
      </c>
    </row>
    <row r="839" spans="1:17" ht="14.5" x14ac:dyDescent="0.35">
      <c r="A839" s="184" t="s">
        <v>155</v>
      </c>
      <c r="B839" s="184" t="s">
        <v>436</v>
      </c>
      <c r="C839" s="184" t="s">
        <v>228</v>
      </c>
      <c r="D839" s="185" t="s">
        <v>288</v>
      </c>
      <c r="E839" s="185">
        <v>50744</v>
      </c>
      <c r="F839" s="185" t="s">
        <v>149</v>
      </c>
      <c r="G839" s="184">
        <v>101001</v>
      </c>
      <c r="H839" s="184" t="s">
        <v>108</v>
      </c>
      <c r="I839" s="184" t="s">
        <v>337</v>
      </c>
      <c r="J839" s="184" t="s">
        <v>295</v>
      </c>
      <c r="K839" s="184" t="s">
        <v>356</v>
      </c>
      <c r="L839" s="185">
        <v>1</v>
      </c>
      <c r="M839" s="186">
        <v>16477.75</v>
      </c>
      <c r="N839" s="186">
        <v>0</v>
      </c>
      <c r="O839" s="125">
        <f t="shared" si="66"/>
        <v>16477.75</v>
      </c>
      <c r="P839" s="125"/>
      <c r="Q839" s="73">
        <f t="shared" si="75"/>
        <v>1880.1112750000002</v>
      </c>
    </row>
    <row r="840" spans="1:17" ht="14.5" x14ac:dyDescent="0.35">
      <c r="A840" s="184" t="s">
        <v>155</v>
      </c>
      <c r="B840" s="184" t="s">
        <v>436</v>
      </c>
      <c r="C840" s="184" t="s">
        <v>228</v>
      </c>
      <c r="D840" s="185" t="s">
        <v>288</v>
      </c>
      <c r="E840" s="185">
        <v>50745</v>
      </c>
      <c r="F840" s="185" t="s">
        <v>149</v>
      </c>
      <c r="G840" s="184">
        <v>101001</v>
      </c>
      <c r="H840" s="184" t="s">
        <v>108</v>
      </c>
      <c r="I840" s="184" t="s">
        <v>337</v>
      </c>
      <c r="J840" s="184" t="s">
        <v>295</v>
      </c>
      <c r="K840" s="184" t="s">
        <v>357</v>
      </c>
      <c r="L840" s="185">
        <v>1</v>
      </c>
      <c r="M840" s="186">
        <v>18537.48</v>
      </c>
      <c r="N840" s="186">
        <v>0</v>
      </c>
      <c r="O840" s="125">
        <f t="shared" ref="O840:O903" si="76">M840-N840</f>
        <v>18537.48</v>
      </c>
      <c r="P840" s="125"/>
      <c r="Q840" s="73">
        <f t="shared" si="75"/>
        <v>2115.1264679999999</v>
      </c>
    </row>
    <row r="841" spans="1:17" ht="14.5" x14ac:dyDescent="0.35">
      <c r="A841" s="184" t="s">
        <v>155</v>
      </c>
      <c r="B841" s="184" t="s">
        <v>436</v>
      </c>
      <c r="C841" s="184" t="s">
        <v>228</v>
      </c>
      <c r="D841" s="185" t="s">
        <v>288</v>
      </c>
      <c r="E841" s="185">
        <v>50746</v>
      </c>
      <c r="F841" s="185" t="s">
        <v>149</v>
      </c>
      <c r="G841" s="184">
        <v>101001</v>
      </c>
      <c r="H841" s="184" t="s">
        <v>108</v>
      </c>
      <c r="I841" s="184" t="s">
        <v>337</v>
      </c>
      <c r="J841" s="184" t="s">
        <v>295</v>
      </c>
      <c r="K841" s="184" t="s">
        <v>358</v>
      </c>
      <c r="L841" s="185">
        <v>1</v>
      </c>
      <c r="M841" s="186">
        <v>28836.07</v>
      </c>
      <c r="N841" s="186">
        <v>0</v>
      </c>
      <c r="O841" s="125">
        <f t="shared" si="76"/>
        <v>28836.07</v>
      </c>
      <c r="P841" s="125"/>
      <c r="Q841" s="73">
        <f t="shared" si="75"/>
        <v>3290.1955870000002</v>
      </c>
    </row>
    <row r="842" spans="1:17" ht="14.5" x14ac:dyDescent="0.35">
      <c r="A842" s="184" t="s">
        <v>155</v>
      </c>
      <c r="B842" s="184" t="s">
        <v>436</v>
      </c>
      <c r="C842" s="184" t="s">
        <v>228</v>
      </c>
      <c r="D842" s="185" t="s">
        <v>288</v>
      </c>
      <c r="E842" s="185">
        <v>50747</v>
      </c>
      <c r="F842" s="185" t="s">
        <v>149</v>
      </c>
      <c r="G842" s="184">
        <v>101001</v>
      </c>
      <c r="H842" s="184" t="s">
        <v>108</v>
      </c>
      <c r="I842" s="184" t="s">
        <v>337</v>
      </c>
      <c r="J842" s="184" t="s">
        <v>295</v>
      </c>
      <c r="K842" s="184" t="s">
        <v>361</v>
      </c>
      <c r="L842" s="185">
        <v>1</v>
      </c>
      <c r="M842" s="186">
        <v>4119.4399999999996</v>
      </c>
      <c r="N842" s="186">
        <v>0</v>
      </c>
      <c r="O842" s="125">
        <f t="shared" si="76"/>
        <v>4119.4399999999996</v>
      </c>
      <c r="P842" s="125"/>
      <c r="Q842" s="73">
        <f t="shared" si="75"/>
        <v>470.02810399999998</v>
      </c>
    </row>
    <row r="843" spans="1:17" ht="14.5" x14ac:dyDescent="0.35">
      <c r="A843" s="184" t="s">
        <v>155</v>
      </c>
      <c r="B843" s="184" t="s">
        <v>436</v>
      </c>
      <c r="C843" s="184" t="s">
        <v>228</v>
      </c>
      <c r="D843" s="185" t="s">
        <v>288</v>
      </c>
      <c r="E843" s="185">
        <v>50748</v>
      </c>
      <c r="F843" s="185" t="s">
        <v>149</v>
      </c>
      <c r="G843" s="184">
        <v>101001</v>
      </c>
      <c r="H843" s="184" t="s">
        <v>108</v>
      </c>
      <c r="I843" s="184" t="s">
        <v>337</v>
      </c>
      <c r="J843" s="184" t="s">
        <v>295</v>
      </c>
      <c r="K843" s="184" t="s">
        <v>359</v>
      </c>
      <c r="L843" s="185">
        <v>1</v>
      </c>
      <c r="M843" s="186">
        <v>24716.63</v>
      </c>
      <c r="N843" s="186">
        <v>0</v>
      </c>
      <c r="O843" s="125">
        <f t="shared" si="76"/>
        <v>24716.63</v>
      </c>
      <c r="P843" s="125"/>
      <c r="Q843" s="73">
        <f t="shared" si="75"/>
        <v>2820.1674830000006</v>
      </c>
    </row>
    <row r="844" spans="1:17" ht="14.5" x14ac:dyDescent="0.35">
      <c r="A844" s="184" t="s">
        <v>155</v>
      </c>
      <c r="B844" s="184" t="s">
        <v>436</v>
      </c>
      <c r="C844" s="184" t="s">
        <v>228</v>
      </c>
      <c r="D844" s="185" t="s">
        <v>288</v>
      </c>
      <c r="E844" s="185">
        <v>50749</v>
      </c>
      <c r="F844" s="185" t="s">
        <v>149</v>
      </c>
      <c r="G844" s="184">
        <v>101001</v>
      </c>
      <c r="H844" s="184" t="s">
        <v>108</v>
      </c>
      <c r="I844" s="184" t="s">
        <v>337</v>
      </c>
      <c r="J844" s="184" t="s">
        <v>295</v>
      </c>
      <c r="K844" s="184" t="s">
        <v>360</v>
      </c>
      <c r="L844" s="185">
        <v>1</v>
      </c>
      <c r="M844" s="186">
        <v>20159.189999999999</v>
      </c>
      <c r="N844" s="186">
        <v>0</v>
      </c>
      <c r="O844" s="125">
        <f t="shared" si="76"/>
        <v>20159.189999999999</v>
      </c>
      <c r="P844" s="125"/>
      <c r="Q844" s="73">
        <f t="shared" si="75"/>
        <v>2300.163579</v>
      </c>
    </row>
    <row r="845" spans="1:17" ht="14.5" x14ac:dyDescent="0.35">
      <c r="A845" s="184" t="s">
        <v>155</v>
      </c>
      <c r="B845" s="184" t="s">
        <v>436</v>
      </c>
      <c r="C845" s="184" t="s">
        <v>228</v>
      </c>
      <c r="D845" s="185" t="s">
        <v>288</v>
      </c>
      <c r="E845" s="185">
        <v>50750</v>
      </c>
      <c r="F845" s="185" t="s">
        <v>149</v>
      </c>
      <c r="G845" s="184">
        <v>101001</v>
      </c>
      <c r="H845" s="184" t="s">
        <v>108</v>
      </c>
      <c r="I845" s="184" t="s">
        <v>337</v>
      </c>
      <c r="J845" s="184" t="s">
        <v>295</v>
      </c>
      <c r="K845" s="184" t="s">
        <v>362</v>
      </c>
      <c r="L845" s="185">
        <v>1</v>
      </c>
      <c r="M845" s="186">
        <v>18537.48</v>
      </c>
      <c r="N845" s="186">
        <v>0</v>
      </c>
      <c r="O845" s="125">
        <f t="shared" si="76"/>
        <v>18537.48</v>
      </c>
      <c r="P845" s="125"/>
      <c r="Q845" s="73">
        <f t="shared" si="75"/>
        <v>2115.1264679999999</v>
      </c>
    </row>
    <row r="846" spans="1:17" ht="14.5" x14ac:dyDescent="0.35">
      <c r="A846" s="184" t="s">
        <v>155</v>
      </c>
      <c r="B846" s="184" t="s">
        <v>436</v>
      </c>
      <c r="C846" s="184" t="s">
        <v>228</v>
      </c>
      <c r="D846" s="185" t="s">
        <v>288</v>
      </c>
      <c r="E846" s="185">
        <v>50751</v>
      </c>
      <c r="F846" s="185" t="s">
        <v>149</v>
      </c>
      <c r="G846" s="184">
        <v>101001</v>
      </c>
      <c r="H846" s="184" t="s">
        <v>108</v>
      </c>
      <c r="I846" s="184" t="s">
        <v>337</v>
      </c>
      <c r="J846" s="184" t="s">
        <v>295</v>
      </c>
      <c r="K846" s="184" t="s">
        <v>363</v>
      </c>
      <c r="L846" s="185">
        <v>1</v>
      </c>
      <c r="M846" s="186">
        <v>22656.91</v>
      </c>
      <c r="N846" s="186">
        <v>0</v>
      </c>
      <c r="O846" s="125">
        <f t="shared" si="76"/>
        <v>22656.91</v>
      </c>
      <c r="P846" s="125"/>
      <c r="Q846" s="73">
        <f t="shared" si="75"/>
        <v>2585.1534310000002</v>
      </c>
    </row>
    <row r="847" spans="1:17" ht="14.5" x14ac:dyDescent="0.35">
      <c r="A847" s="184" t="s">
        <v>155</v>
      </c>
      <c r="B847" s="184" t="s">
        <v>436</v>
      </c>
      <c r="C847" s="184" t="s">
        <v>228</v>
      </c>
      <c r="D847" s="185" t="s">
        <v>288</v>
      </c>
      <c r="E847" s="185">
        <v>50752</v>
      </c>
      <c r="F847" s="185" t="s">
        <v>149</v>
      </c>
      <c r="G847" s="184">
        <v>101001</v>
      </c>
      <c r="H847" s="184" t="s">
        <v>108</v>
      </c>
      <c r="I847" s="184" t="s">
        <v>337</v>
      </c>
      <c r="J847" s="184" t="s">
        <v>295</v>
      </c>
      <c r="K847" s="184" t="s">
        <v>364</v>
      </c>
      <c r="L847" s="185">
        <v>1</v>
      </c>
      <c r="M847" s="186">
        <v>41194.400000000001</v>
      </c>
      <c r="N847" s="186">
        <v>0</v>
      </c>
      <c r="O847" s="125">
        <f t="shared" si="76"/>
        <v>41194.400000000001</v>
      </c>
      <c r="P847" s="125"/>
      <c r="Q847" s="73">
        <f t="shared" si="75"/>
        <v>4700.2810400000008</v>
      </c>
    </row>
    <row r="848" spans="1:17" ht="14.5" x14ac:dyDescent="0.35">
      <c r="A848" s="184" t="s">
        <v>155</v>
      </c>
      <c r="B848" s="184" t="s">
        <v>436</v>
      </c>
      <c r="C848" s="184" t="s">
        <v>228</v>
      </c>
      <c r="D848" s="185" t="s">
        <v>288</v>
      </c>
      <c r="E848" s="185">
        <v>50753</v>
      </c>
      <c r="F848" s="185" t="s">
        <v>149</v>
      </c>
      <c r="G848" s="184">
        <v>101001</v>
      </c>
      <c r="H848" s="184" t="s">
        <v>108</v>
      </c>
      <c r="I848" s="184" t="s">
        <v>337</v>
      </c>
      <c r="J848" s="184" t="s">
        <v>295</v>
      </c>
      <c r="K848" s="184" t="s">
        <v>365</v>
      </c>
      <c r="L848" s="185">
        <v>1</v>
      </c>
      <c r="M848" s="186">
        <v>22459.18</v>
      </c>
      <c r="N848" s="186">
        <v>0</v>
      </c>
      <c r="O848" s="125">
        <f t="shared" si="76"/>
        <v>22459.18</v>
      </c>
      <c r="P848" s="125"/>
      <c r="Q848" s="73">
        <f t="shared" si="75"/>
        <v>2562.5924380000001</v>
      </c>
    </row>
    <row r="849" spans="1:17" ht="14.5" x14ac:dyDescent="0.35">
      <c r="A849" s="184" t="s">
        <v>155</v>
      </c>
      <c r="B849" s="184" t="s">
        <v>436</v>
      </c>
      <c r="C849" s="184" t="s">
        <v>228</v>
      </c>
      <c r="D849" s="185" t="s">
        <v>288</v>
      </c>
      <c r="E849" s="185">
        <v>50754</v>
      </c>
      <c r="F849" s="185" t="s">
        <v>149</v>
      </c>
      <c r="G849" s="184">
        <v>101001</v>
      </c>
      <c r="H849" s="184" t="s">
        <v>108</v>
      </c>
      <c r="I849" s="184" t="s">
        <v>337</v>
      </c>
      <c r="J849" s="184" t="s">
        <v>295</v>
      </c>
      <c r="K849" s="184" t="s">
        <v>366</v>
      </c>
      <c r="L849" s="185">
        <v>1</v>
      </c>
      <c r="M849" s="186">
        <v>37074.949999999997</v>
      </c>
      <c r="N849" s="186">
        <v>0</v>
      </c>
      <c r="O849" s="125">
        <f t="shared" si="76"/>
        <v>37074.949999999997</v>
      </c>
      <c r="P849" s="125"/>
      <c r="Q849" s="73">
        <f t="shared" si="75"/>
        <v>4230.2517950000001</v>
      </c>
    </row>
    <row r="850" spans="1:17" ht="14.5" x14ac:dyDescent="0.35">
      <c r="A850" s="184" t="s">
        <v>155</v>
      </c>
      <c r="B850" s="184" t="s">
        <v>436</v>
      </c>
      <c r="C850" s="184" t="s">
        <v>228</v>
      </c>
      <c r="D850" s="185" t="s">
        <v>288</v>
      </c>
      <c r="E850" s="185">
        <v>50755</v>
      </c>
      <c r="F850" s="185" t="s">
        <v>149</v>
      </c>
      <c r="G850" s="184">
        <v>101001</v>
      </c>
      <c r="H850" s="184" t="s">
        <v>108</v>
      </c>
      <c r="I850" s="184" t="s">
        <v>337</v>
      </c>
      <c r="J850" s="184" t="s">
        <v>295</v>
      </c>
      <c r="K850" s="184" t="s">
        <v>367</v>
      </c>
      <c r="L850" s="185">
        <v>1</v>
      </c>
      <c r="M850" s="186">
        <v>14418.04</v>
      </c>
      <c r="N850" s="186">
        <v>0</v>
      </c>
      <c r="O850" s="125">
        <f t="shared" si="76"/>
        <v>14418.04</v>
      </c>
      <c r="P850" s="125"/>
      <c r="Q850" s="73">
        <f t="shared" si="75"/>
        <v>1645.0983640000002</v>
      </c>
    </row>
    <row r="851" spans="1:17" ht="14.5" x14ac:dyDescent="0.35">
      <c r="A851" s="184" t="s">
        <v>155</v>
      </c>
      <c r="B851" s="184" t="s">
        <v>436</v>
      </c>
      <c r="C851" s="184" t="s">
        <v>228</v>
      </c>
      <c r="D851" s="185" t="s">
        <v>288</v>
      </c>
      <c r="E851" s="185">
        <v>50756</v>
      </c>
      <c r="F851" s="185" t="s">
        <v>149</v>
      </c>
      <c r="G851" s="184">
        <v>101001</v>
      </c>
      <c r="H851" s="184" t="s">
        <v>108</v>
      </c>
      <c r="I851" s="184" t="s">
        <v>337</v>
      </c>
      <c r="J851" s="184" t="s">
        <v>295</v>
      </c>
      <c r="K851" s="184" t="s">
        <v>368</v>
      </c>
      <c r="L851" s="185">
        <v>1</v>
      </c>
      <c r="M851" s="186">
        <v>14418.04</v>
      </c>
      <c r="N851" s="186">
        <v>0</v>
      </c>
      <c r="O851" s="125">
        <f t="shared" si="76"/>
        <v>14418.04</v>
      </c>
      <c r="P851" s="125"/>
      <c r="Q851" s="73">
        <f t="shared" si="75"/>
        <v>1645.0983640000002</v>
      </c>
    </row>
    <row r="852" spans="1:17" ht="14.5" x14ac:dyDescent="0.35">
      <c r="A852" s="184" t="s">
        <v>155</v>
      </c>
      <c r="B852" s="184" t="s">
        <v>436</v>
      </c>
      <c r="C852" s="184" t="s">
        <v>228</v>
      </c>
      <c r="D852" s="185" t="s">
        <v>288</v>
      </c>
      <c r="E852" s="185">
        <v>50757</v>
      </c>
      <c r="F852" s="185" t="s">
        <v>149</v>
      </c>
      <c r="G852" s="184">
        <v>101001</v>
      </c>
      <c r="H852" s="184" t="s">
        <v>108</v>
      </c>
      <c r="I852" s="184" t="s">
        <v>337</v>
      </c>
      <c r="J852" s="184" t="s">
        <v>295</v>
      </c>
      <c r="K852" s="184" t="s">
        <v>352</v>
      </c>
      <c r="L852" s="185">
        <v>1</v>
      </c>
      <c r="M852" s="186">
        <v>21833.03</v>
      </c>
      <c r="N852" s="186">
        <v>0</v>
      </c>
      <c r="O852" s="125">
        <f t="shared" si="76"/>
        <v>21833.03</v>
      </c>
      <c r="P852" s="125"/>
      <c r="Q852" s="73">
        <f t="shared" si="75"/>
        <v>2491.1487229999998</v>
      </c>
    </row>
    <row r="853" spans="1:17" ht="14.5" x14ac:dyDescent="0.35">
      <c r="A853" s="184" t="s">
        <v>155</v>
      </c>
      <c r="B853" s="184" t="s">
        <v>436</v>
      </c>
      <c r="C853" s="184" t="s">
        <v>228</v>
      </c>
      <c r="D853" s="185" t="s">
        <v>288</v>
      </c>
      <c r="E853" s="185">
        <v>50758</v>
      </c>
      <c r="F853" s="185" t="s">
        <v>149</v>
      </c>
      <c r="G853" s="184">
        <v>101001</v>
      </c>
      <c r="H853" s="184" t="s">
        <v>108</v>
      </c>
      <c r="I853" s="184" t="s">
        <v>337</v>
      </c>
      <c r="J853" s="184" t="s">
        <v>295</v>
      </c>
      <c r="K853" s="184" t="s">
        <v>369</v>
      </c>
      <c r="L853" s="185">
        <v>1</v>
      </c>
      <c r="M853" s="186">
        <v>17713.59</v>
      </c>
      <c r="N853" s="186">
        <v>0</v>
      </c>
      <c r="O853" s="125">
        <f t="shared" si="76"/>
        <v>17713.59</v>
      </c>
      <c r="P853" s="125"/>
      <c r="Q853" s="73">
        <f t="shared" si="75"/>
        <v>2021.1206190000003</v>
      </c>
    </row>
    <row r="854" spans="1:17" ht="14.5" x14ac:dyDescent="0.35">
      <c r="A854" s="184" t="s">
        <v>155</v>
      </c>
      <c r="B854" s="184" t="s">
        <v>436</v>
      </c>
      <c r="C854" s="184" t="s">
        <v>228</v>
      </c>
      <c r="D854" s="185" t="s">
        <v>288</v>
      </c>
      <c r="E854" s="185">
        <v>50759</v>
      </c>
      <c r="F854" s="185" t="s">
        <v>149</v>
      </c>
      <c r="G854" s="184">
        <v>101001</v>
      </c>
      <c r="H854" s="184" t="s">
        <v>108</v>
      </c>
      <c r="I854" s="184" t="s">
        <v>337</v>
      </c>
      <c r="J854" s="184" t="s">
        <v>295</v>
      </c>
      <c r="K854" s="184" t="s">
        <v>370</v>
      </c>
      <c r="L854" s="185">
        <v>1</v>
      </c>
      <c r="M854" s="186">
        <v>18537.48</v>
      </c>
      <c r="N854" s="186">
        <v>0</v>
      </c>
      <c r="O854" s="125">
        <f t="shared" si="76"/>
        <v>18537.48</v>
      </c>
      <c r="P854" s="125"/>
      <c r="Q854" s="73">
        <f t="shared" si="75"/>
        <v>2115.1264679999999</v>
      </c>
    </row>
    <row r="855" spans="1:17" ht="14.5" x14ac:dyDescent="0.35">
      <c r="A855" s="184" t="s">
        <v>155</v>
      </c>
      <c r="B855" s="184" t="s">
        <v>436</v>
      </c>
      <c r="C855" s="184" t="s">
        <v>228</v>
      </c>
      <c r="D855" s="185" t="s">
        <v>288</v>
      </c>
      <c r="E855" s="185">
        <v>50760</v>
      </c>
      <c r="F855" s="185" t="s">
        <v>149</v>
      </c>
      <c r="G855" s="184">
        <v>101001</v>
      </c>
      <c r="H855" s="184" t="s">
        <v>108</v>
      </c>
      <c r="I855" s="184" t="s">
        <v>337</v>
      </c>
      <c r="J855" s="184" t="s">
        <v>295</v>
      </c>
      <c r="K855" s="184" t="s">
        <v>371</v>
      </c>
      <c r="L855" s="185">
        <v>1</v>
      </c>
      <c r="M855" s="186">
        <v>47785.49</v>
      </c>
      <c r="N855" s="186">
        <v>0</v>
      </c>
      <c r="O855" s="125">
        <f t="shared" si="76"/>
        <v>47785.49</v>
      </c>
      <c r="P855" s="125"/>
      <c r="Q855" s="73">
        <f t="shared" si="75"/>
        <v>5452.3244089999998</v>
      </c>
    </row>
    <row r="856" spans="1:17" ht="14.5" x14ac:dyDescent="0.35">
      <c r="A856" s="184" t="s">
        <v>155</v>
      </c>
      <c r="B856" s="184" t="s">
        <v>436</v>
      </c>
      <c r="C856" s="184" t="s">
        <v>228</v>
      </c>
      <c r="D856" s="185" t="s">
        <v>288</v>
      </c>
      <c r="E856" s="185">
        <v>50761</v>
      </c>
      <c r="F856" s="185" t="s">
        <v>149</v>
      </c>
      <c r="G856" s="184">
        <v>101001</v>
      </c>
      <c r="H856" s="184" t="s">
        <v>108</v>
      </c>
      <c r="I856" s="184" t="s">
        <v>337</v>
      </c>
      <c r="J856" s="184" t="s">
        <v>295</v>
      </c>
      <c r="K856" s="184" t="s">
        <v>372</v>
      </c>
      <c r="L856" s="185">
        <v>1</v>
      </c>
      <c r="M856" s="186">
        <v>23892.75</v>
      </c>
      <c r="N856" s="186">
        <v>0</v>
      </c>
      <c r="O856" s="125">
        <f t="shared" si="76"/>
        <v>23892.75</v>
      </c>
      <c r="P856" s="125"/>
      <c r="Q856" s="73">
        <f t="shared" si="75"/>
        <v>2726.1627750000002</v>
      </c>
    </row>
    <row r="857" spans="1:17" ht="14.5" x14ac:dyDescent="0.35">
      <c r="A857" s="184" t="s">
        <v>155</v>
      </c>
      <c r="B857" s="184" t="s">
        <v>436</v>
      </c>
      <c r="C857" s="184" t="s">
        <v>228</v>
      </c>
      <c r="D857" s="185" t="s">
        <v>288</v>
      </c>
      <c r="E857" s="185">
        <v>50762</v>
      </c>
      <c r="F857" s="185" t="s">
        <v>149</v>
      </c>
      <c r="G857" s="184">
        <v>101001</v>
      </c>
      <c r="H857" s="184" t="s">
        <v>108</v>
      </c>
      <c r="I857" s="184" t="s">
        <v>337</v>
      </c>
      <c r="J857" s="184" t="s">
        <v>295</v>
      </c>
      <c r="K857" s="184" t="s">
        <v>373</v>
      </c>
      <c r="L857" s="185">
        <v>1</v>
      </c>
      <c r="M857" s="186">
        <v>22656.91</v>
      </c>
      <c r="N857" s="186">
        <v>0</v>
      </c>
      <c r="O857" s="125">
        <f t="shared" si="76"/>
        <v>22656.91</v>
      </c>
      <c r="P857" s="125"/>
      <c r="Q857" s="73">
        <f t="shared" si="75"/>
        <v>2585.1534310000002</v>
      </c>
    </row>
    <row r="858" spans="1:17" ht="14.5" x14ac:dyDescent="0.35">
      <c r="A858" s="184" t="s">
        <v>155</v>
      </c>
      <c r="B858" s="184" t="s">
        <v>436</v>
      </c>
      <c r="C858" s="184" t="s">
        <v>228</v>
      </c>
      <c r="D858" s="185" t="s">
        <v>288</v>
      </c>
      <c r="E858" s="185">
        <v>50763</v>
      </c>
      <c r="F858" s="185" t="s">
        <v>149</v>
      </c>
      <c r="G858" s="184">
        <v>101001</v>
      </c>
      <c r="H858" s="184" t="s">
        <v>108</v>
      </c>
      <c r="I858" s="184" t="s">
        <v>337</v>
      </c>
      <c r="J858" s="184" t="s">
        <v>295</v>
      </c>
      <c r="K858" s="184" t="s">
        <v>351</v>
      </c>
      <c r="L858" s="185">
        <v>1</v>
      </c>
      <c r="M858" s="186">
        <v>32131.62</v>
      </c>
      <c r="N858" s="186">
        <v>0</v>
      </c>
      <c r="O858" s="125">
        <f t="shared" si="76"/>
        <v>32131.62</v>
      </c>
      <c r="P858" s="125"/>
      <c r="Q858" s="73">
        <f t="shared" si="75"/>
        <v>3666.2178420000005</v>
      </c>
    </row>
    <row r="859" spans="1:17" ht="14.5" x14ac:dyDescent="0.35">
      <c r="A859" s="184" t="s">
        <v>155</v>
      </c>
      <c r="B859" s="184" t="s">
        <v>436</v>
      </c>
      <c r="C859" s="184" t="s">
        <v>228</v>
      </c>
      <c r="D859" s="185" t="s">
        <v>288</v>
      </c>
      <c r="E859" s="185">
        <v>50764</v>
      </c>
      <c r="F859" s="185" t="s">
        <v>149</v>
      </c>
      <c r="G859" s="184">
        <v>101001</v>
      </c>
      <c r="H859" s="184" t="s">
        <v>108</v>
      </c>
      <c r="I859" s="184" t="s">
        <v>337</v>
      </c>
      <c r="J859" s="184" t="s">
        <v>295</v>
      </c>
      <c r="K859" s="184" t="s">
        <v>374</v>
      </c>
      <c r="L859" s="185">
        <v>1</v>
      </c>
      <c r="M859" s="186">
        <v>14418.04</v>
      </c>
      <c r="N859" s="186">
        <v>0</v>
      </c>
      <c r="O859" s="125">
        <f t="shared" si="76"/>
        <v>14418.04</v>
      </c>
      <c r="P859" s="125"/>
      <c r="Q859" s="73">
        <f t="shared" si="75"/>
        <v>1645.0983640000002</v>
      </c>
    </row>
    <row r="860" spans="1:17" ht="14.5" x14ac:dyDescent="0.35">
      <c r="A860" s="184" t="s">
        <v>155</v>
      </c>
      <c r="B860" s="184" t="s">
        <v>436</v>
      </c>
      <c r="C860" s="184" t="s">
        <v>228</v>
      </c>
      <c r="D860" s="185" t="s">
        <v>288</v>
      </c>
      <c r="E860" s="185">
        <v>50765</v>
      </c>
      <c r="F860" s="185" t="s">
        <v>149</v>
      </c>
      <c r="G860" s="184">
        <v>101001</v>
      </c>
      <c r="H860" s="184" t="s">
        <v>108</v>
      </c>
      <c r="I860" s="184" t="s">
        <v>337</v>
      </c>
      <c r="J860" s="184" t="s">
        <v>295</v>
      </c>
      <c r="K860" s="184" t="s">
        <v>375</v>
      </c>
      <c r="L860" s="185">
        <v>1</v>
      </c>
      <c r="M860" s="186">
        <v>6885.35</v>
      </c>
      <c r="N860" s="186">
        <v>0</v>
      </c>
      <c r="O860" s="125">
        <f t="shared" si="76"/>
        <v>6885.35</v>
      </c>
      <c r="P860" s="125"/>
      <c r="Q860" s="73">
        <f t="shared" si="75"/>
        <v>785.61843500000009</v>
      </c>
    </row>
    <row r="861" spans="1:17" ht="14.5" x14ac:dyDescent="0.35">
      <c r="A861" s="184" t="s">
        <v>155</v>
      </c>
      <c r="B861" s="184" t="s">
        <v>436</v>
      </c>
      <c r="C861" s="184" t="s">
        <v>228</v>
      </c>
      <c r="D861" s="185" t="s">
        <v>288</v>
      </c>
      <c r="E861" s="185">
        <v>50766</v>
      </c>
      <c r="F861" s="185" t="s">
        <v>149</v>
      </c>
      <c r="G861" s="184">
        <v>102002</v>
      </c>
      <c r="H861" s="184" t="s">
        <v>112</v>
      </c>
      <c r="I861" s="184" t="s">
        <v>337</v>
      </c>
      <c r="J861" s="184" t="s">
        <v>295</v>
      </c>
      <c r="K861" s="184" t="s">
        <v>423</v>
      </c>
      <c r="L861" s="185">
        <v>1</v>
      </c>
      <c r="M861" s="186">
        <v>80.930000000000007</v>
      </c>
      <c r="N861" s="186">
        <v>0</v>
      </c>
      <c r="O861" s="125">
        <f t="shared" si="76"/>
        <v>80.930000000000007</v>
      </c>
      <c r="P861" s="125"/>
      <c r="Q861" s="73">
        <f t="shared" si="75"/>
        <v>9.2341130000000025</v>
      </c>
    </row>
    <row r="862" spans="1:17" ht="14.5" x14ac:dyDescent="0.35">
      <c r="A862" s="184" t="s">
        <v>155</v>
      </c>
      <c r="B862" s="184" t="s">
        <v>436</v>
      </c>
      <c r="C862" s="184" t="s">
        <v>228</v>
      </c>
      <c r="D862" s="185" t="s">
        <v>288</v>
      </c>
      <c r="E862" s="185">
        <v>50768</v>
      </c>
      <c r="F862" s="185" t="s">
        <v>149</v>
      </c>
      <c r="G862" s="184">
        <v>102002</v>
      </c>
      <c r="H862" s="184" t="s">
        <v>112</v>
      </c>
      <c r="I862" s="184" t="s">
        <v>337</v>
      </c>
      <c r="J862" s="184" t="s">
        <v>295</v>
      </c>
      <c r="K862" s="184" t="s">
        <v>353</v>
      </c>
      <c r="L862" s="185">
        <v>1</v>
      </c>
      <c r="M862" s="186">
        <v>209.03</v>
      </c>
      <c r="N862" s="186">
        <v>0</v>
      </c>
      <c r="O862" s="125">
        <f t="shared" si="76"/>
        <v>209.03</v>
      </c>
      <c r="P862" s="125"/>
      <c r="Q862" s="73">
        <f t="shared" si="75"/>
        <v>23.850323000000003</v>
      </c>
    </row>
    <row r="863" spans="1:17" ht="14.5" x14ac:dyDescent="0.35">
      <c r="A863" s="184" t="s">
        <v>155</v>
      </c>
      <c r="B863" s="184" t="s">
        <v>436</v>
      </c>
      <c r="C863" s="184" t="s">
        <v>228</v>
      </c>
      <c r="D863" s="185" t="s">
        <v>288</v>
      </c>
      <c r="E863" s="185">
        <v>50769</v>
      </c>
      <c r="F863" s="185" t="s">
        <v>149</v>
      </c>
      <c r="G863" s="184">
        <v>102002</v>
      </c>
      <c r="H863" s="184" t="s">
        <v>112</v>
      </c>
      <c r="I863" s="184" t="s">
        <v>337</v>
      </c>
      <c r="J863" s="184" t="s">
        <v>295</v>
      </c>
      <c r="K863" s="184" t="s">
        <v>354</v>
      </c>
      <c r="L863" s="185">
        <v>1</v>
      </c>
      <c r="M863" s="186">
        <v>266.02999999999997</v>
      </c>
      <c r="N863" s="186">
        <v>0</v>
      </c>
      <c r="O863" s="125">
        <f t="shared" si="76"/>
        <v>266.02999999999997</v>
      </c>
      <c r="P863" s="125"/>
      <c r="Q863" s="73">
        <f t="shared" si="75"/>
        <v>30.354022999999998</v>
      </c>
    </row>
    <row r="864" spans="1:17" ht="14.5" x14ac:dyDescent="0.35">
      <c r="A864" s="184" t="s">
        <v>155</v>
      </c>
      <c r="B864" s="184" t="s">
        <v>436</v>
      </c>
      <c r="C864" s="184" t="s">
        <v>228</v>
      </c>
      <c r="D864" s="185" t="s">
        <v>288</v>
      </c>
      <c r="E864" s="185">
        <v>50770</v>
      </c>
      <c r="F864" s="185" t="s">
        <v>149</v>
      </c>
      <c r="G864" s="184">
        <v>102002</v>
      </c>
      <c r="H864" s="184" t="s">
        <v>112</v>
      </c>
      <c r="I864" s="184" t="s">
        <v>337</v>
      </c>
      <c r="J864" s="184" t="s">
        <v>295</v>
      </c>
      <c r="K864" s="184" t="s">
        <v>355</v>
      </c>
      <c r="L864" s="185">
        <v>1</v>
      </c>
      <c r="M864" s="186">
        <v>190.02</v>
      </c>
      <c r="N864" s="186">
        <v>0</v>
      </c>
      <c r="O864" s="125">
        <f t="shared" si="76"/>
        <v>190.02</v>
      </c>
      <c r="P864" s="125"/>
      <c r="Q864" s="73">
        <f t="shared" si="75"/>
        <v>21.681282000000003</v>
      </c>
    </row>
    <row r="865" spans="1:17" ht="14.5" x14ac:dyDescent="0.35">
      <c r="A865" s="184" t="s">
        <v>155</v>
      </c>
      <c r="B865" s="184" t="s">
        <v>436</v>
      </c>
      <c r="C865" s="184" t="s">
        <v>228</v>
      </c>
      <c r="D865" s="185" t="s">
        <v>288</v>
      </c>
      <c r="E865" s="185">
        <v>50771</v>
      </c>
      <c r="F865" s="185" t="s">
        <v>149</v>
      </c>
      <c r="G865" s="184">
        <v>102002</v>
      </c>
      <c r="H865" s="184" t="s">
        <v>112</v>
      </c>
      <c r="I865" s="184" t="s">
        <v>337</v>
      </c>
      <c r="J865" s="184" t="s">
        <v>295</v>
      </c>
      <c r="K865" s="184" t="s">
        <v>356</v>
      </c>
      <c r="L865" s="185">
        <v>1</v>
      </c>
      <c r="M865" s="186">
        <v>152.02000000000001</v>
      </c>
      <c r="N865" s="186">
        <v>0</v>
      </c>
      <c r="O865" s="125">
        <f t="shared" si="76"/>
        <v>152.02000000000001</v>
      </c>
      <c r="P865" s="125"/>
      <c r="Q865" s="73">
        <f t="shared" si="75"/>
        <v>17.345482000000001</v>
      </c>
    </row>
    <row r="866" spans="1:17" ht="14.5" x14ac:dyDescent="0.35">
      <c r="A866" s="184" t="s">
        <v>155</v>
      </c>
      <c r="B866" s="184" t="s">
        <v>436</v>
      </c>
      <c r="C866" s="184" t="s">
        <v>228</v>
      </c>
      <c r="D866" s="185" t="s">
        <v>288</v>
      </c>
      <c r="E866" s="185">
        <v>50772</v>
      </c>
      <c r="F866" s="185" t="s">
        <v>149</v>
      </c>
      <c r="G866" s="184">
        <v>102002</v>
      </c>
      <c r="H866" s="184" t="s">
        <v>112</v>
      </c>
      <c r="I866" s="184" t="s">
        <v>337</v>
      </c>
      <c r="J866" s="184" t="s">
        <v>295</v>
      </c>
      <c r="K866" s="184" t="s">
        <v>357</v>
      </c>
      <c r="L866" s="185">
        <v>1</v>
      </c>
      <c r="M866" s="186">
        <v>171.02</v>
      </c>
      <c r="N866" s="186">
        <v>0</v>
      </c>
      <c r="O866" s="125">
        <f t="shared" si="76"/>
        <v>171.02</v>
      </c>
      <c r="P866" s="125"/>
      <c r="Q866" s="73">
        <f t="shared" si="75"/>
        <v>19.513382</v>
      </c>
    </row>
    <row r="867" spans="1:17" ht="14.5" x14ac:dyDescent="0.35">
      <c r="A867" s="184" t="s">
        <v>155</v>
      </c>
      <c r="B867" s="184" t="s">
        <v>436</v>
      </c>
      <c r="C867" s="184" t="s">
        <v>228</v>
      </c>
      <c r="D867" s="185" t="s">
        <v>288</v>
      </c>
      <c r="E867" s="185">
        <v>50773</v>
      </c>
      <c r="F867" s="185" t="s">
        <v>149</v>
      </c>
      <c r="G867" s="184">
        <v>102002</v>
      </c>
      <c r="H867" s="184" t="s">
        <v>112</v>
      </c>
      <c r="I867" s="184" t="s">
        <v>337</v>
      </c>
      <c r="J867" s="184" t="s">
        <v>295</v>
      </c>
      <c r="K867" s="184" t="s">
        <v>358</v>
      </c>
      <c r="L867" s="185">
        <v>1</v>
      </c>
      <c r="M867" s="186">
        <v>266.02999999999997</v>
      </c>
      <c r="N867" s="186">
        <v>0</v>
      </c>
      <c r="O867" s="125">
        <f t="shared" si="76"/>
        <v>266.02999999999997</v>
      </c>
      <c r="P867" s="125"/>
      <c r="Q867" s="73">
        <f t="shared" si="75"/>
        <v>30.354022999999998</v>
      </c>
    </row>
    <row r="868" spans="1:17" ht="14.5" x14ac:dyDescent="0.35">
      <c r="A868" s="184" t="s">
        <v>155</v>
      </c>
      <c r="B868" s="184" t="s">
        <v>436</v>
      </c>
      <c r="C868" s="184" t="s">
        <v>228</v>
      </c>
      <c r="D868" s="185" t="s">
        <v>288</v>
      </c>
      <c r="E868" s="185">
        <v>50774</v>
      </c>
      <c r="F868" s="185" t="s">
        <v>149</v>
      </c>
      <c r="G868" s="184">
        <v>102002</v>
      </c>
      <c r="H868" s="184" t="s">
        <v>112</v>
      </c>
      <c r="I868" s="184" t="s">
        <v>337</v>
      </c>
      <c r="J868" s="184" t="s">
        <v>295</v>
      </c>
      <c r="K868" s="184" t="s">
        <v>361</v>
      </c>
      <c r="L868" s="185">
        <v>1</v>
      </c>
      <c r="M868" s="186">
        <v>38</v>
      </c>
      <c r="N868" s="186">
        <v>0</v>
      </c>
      <c r="O868" s="125">
        <f t="shared" si="76"/>
        <v>38</v>
      </c>
      <c r="P868" s="125"/>
      <c r="Q868" s="73">
        <f t="shared" si="75"/>
        <v>4.3358000000000008</v>
      </c>
    </row>
    <row r="869" spans="1:17" ht="14.5" x14ac:dyDescent="0.35">
      <c r="A869" s="184" t="s">
        <v>155</v>
      </c>
      <c r="B869" s="184" t="s">
        <v>436</v>
      </c>
      <c r="C869" s="184" t="s">
        <v>228</v>
      </c>
      <c r="D869" s="185" t="s">
        <v>288</v>
      </c>
      <c r="E869" s="185">
        <v>50775</v>
      </c>
      <c r="F869" s="185" t="s">
        <v>149</v>
      </c>
      <c r="G869" s="184">
        <v>102002</v>
      </c>
      <c r="H869" s="184" t="s">
        <v>112</v>
      </c>
      <c r="I869" s="184" t="s">
        <v>337</v>
      </c>
      <c r="J869" s="184" t="s">
        <v>295</v>
      </c>
      <c r="K869" s="184" t="s">
        <v>359</v>
      </c>
      <c r="L869" s="185">
        <v>1</v>
      </c>
      <c r="M869" s="186">
        <v>228.03</v>
      </c>
      <c r="N869" s="186">
        <v>0</v>
      </c>
      <c r="O869" s="125">
        <f t="shared" si="76"/>
        <v>228.03</v>
      </c>
      <c r="P869" s="125"/>
      <c r="Q869" s="73">
        <f t="shared" si="75"/>
        <v>26.018223000000003</v>
      </c>
    </row>
    <row r="870" spans="1:17" ht="14.5" x14ac:dyDescent="0.35">
      <c r="A870" s="184" t="s">
        <v>155</v>
      </c>
      <c r="B870" s="184" t="s">
        <v>436</v>
      </c>
      <c r="C870" s="184" t="s">
        <v>228</v>
      </c>
      <c r="D870" s="185" t="s">
        <v>288</v>
      </c>
      <c r="E870" s="185">
        <v>50776</v>
      </c>
      <c r="F870" s="185" t="s">
        <v>149</v>
      </c>
      <c r="G870" s="184">
        <v>102002</v>
      </c>
      <c r="H870" s="184" t="s">
        <v>112</v>
      </c>
      <c r="I870" s="184" t="s">
        <v>337</v>
      </c>
      <c r="J870" s="184" t="s">
        <v>295</v>
      </c>
      <c r="K870" s="184" t="s">
        <v>360</v>
      </c>
      <c r="L870" s="185">
        <v>1</v>
      </c>
      <c r="M870" s="186">
        <v>171.02</v>
      </c>
      <c r="N870" s="186">
        <v>0</v>
      </c>
      <c r="O870" s="125">
        <f t="shared" si="76"/>
        <v>171.02</v>
      </c>
      <c r="P870" s="125"/>
      <c r="Q870" s="73">
        <f t="shared" si="75"/>
        <v>19.513382</v>
      </c>
    </row>
    <row r="871" spans="1:17" ht="14.5" x14ac:dyDescent="0.35">
      <c r="A871" s="184" t="s">
        <v>155</v>
      </c>
      <c r="B871" s="184" t="s">
        <v>436</v>
      </c>
      <c r="C871" s="184" t="s">
        <v>228</v>
      </c>
      <c r="D871" s="185" t="s">
        <v>288</v>
      </c>
      <c r="E871" s="185">
        <v>50777</v>
      </c>
      <c r="F871" s="185" t="s">
        <v>149</v>
      </c>
      <c r="G871" s="184">
        <v>102002</v>
      </c>
      <c r="H871" s="184" t="s">
        <v>112</v>
      </c>
      <c r="I871" s="184" t="s">
        <v>337</v>
      </c>
      <c r="J871" s="184" t="s">
        <v>295</v>
      </c>
      <c r="K871" s="184" t="s">
        <v>362</v>
      </c>
      <c r="L871" s="185">
        <v>1</v>
      </c>
      <c r="M871" s="186">
        <v>171.02</v>
      </c>
      <c r="N871" s="186">
        <v>0</v>
      </c>
      <c r="O871" s="125">
        <f t="shared" si="76"/>
        <v>171.02</v>
      </c>
      <c r="P871" s="125"/>
      <c r="Q871" s="73">
        <f t="shared" si="75"/>
        <v>19.513382</v>
      </c>
    </row>
    <row r="872" spans="1:17" ht="14.5" x14ac:dyDescent="0.35">
      <c r="A872" s="184" t="s">
        <v>155</v>
      </c>
      <c r="B872" s="184" t="s">
        <v>436</v>
      </c>
      <c r="C872" s="184" t="s">
        <v>228</v>
      </c>
      <c r="D872" s="185" t="s">
        <v>288</v>
      </c>
      <c r="E872" s="185">
        <v>50778</v>
      </c>
      <c r="F872" s="185" t="s">
        <v>149</v>
      </c>
      <c r="G872" s="184">
        <v>102002</v>
      </c>
      <c r="H872" s="184" t="s">
        <v>112</v>
      </c>
      <c r="I872" s="184" t="s">
        <v>337</v>
      </c>
      <c r="J872" s="184" t="s">
        <v>295</v>
      </c>
      <c r="K872" s="184" t="s">
        <v>363</v>
      </c>
      <c r="L872" s="185">
        <v>1</v>
      </c>
      <c r="M872" s="186">
        <v>209.03</v>
      </c>
      <c r="N872" s="186">
        <v>0</v>
      </c>
      <c r="O872" s="125">
        <f t="shared" si="76"/>
        <v>209.03</v>
      </c>
      <c r="P872" s="125"/>
      <c r="Q872" s="73">
        <f t="shared" si="75"/>
        <v>23.850323000000003</v>
      </c>
    </row>
    <row r="873" spans="1:17" ht="14.5" x14ac:dyDescent="0.35">
      <c r="A873" s="184" t="s">
        <v>155</v>
      </c>
      <c r="B873" s="184" t="s">
        <v>436</v>
      </c>
      <c r="C873" s="184" t="s">
        <v>228</v>
      </c>
      <c r="D873" s="185" t="s">
        <v>288</v>
      </c>
      <c r="E873" s="185">
        <v>50779</v>
      </c>
      <c r="F873" s="185" t="s">
        <v>149</v>
      </c>
      <c r="G873" s="184">
        <v>102002</v>
      </c>
      <c r="H873" s="184" t="s">
        <v>112</v>
      </c>
      <c r="I873" s="184" t="s">
        <v>337</v>
      </c>
      <c r="J873" s="184" t="s">
        <v>295</v>
      </c>
      <c r="K873" s="184" t="s">
        <v>364</v>
      </c>
      <c r="L873" s="185">
        <v>1</v>
      </c>
      <c r="M873" s="186">
        <v>380.05</v>
      </c>
      <c r="N873" s="186">
        <v>0</v>
      </c>
      <c r="O873" s="125">
        <f t="shared" si="76"/>
        <v>380.05</v>
      </c>
      <c r="P873" s="125"/>
      <c r="Q873" s="73">
        <f t="shared" si="75"/>
        <v>43.363705000000003</v>
      </c>
    </row>
    <row r="874" spans="1:17" ht="14.5" x14ac:dyDescent="0.35">
      <c r="A874" s="184" t="s">
        <v>155</v>
      </c>
      <c r="B874" s="184" t="s">
        <v>436</v>
      </c>
      <c r="C874" s="184" t="s">
        <v>228</v>
      </c>
      <c r="D874" s="185" t="s">
        <v>288</v>
      </c>
      <c r="E874" s="185">
        <v>50780</v>
      </c>
      <c r="F874" s="185" t="s">
        <v>149</v>
      </c>
      <c r="G874" s="184">
        <v>102002</v>
      </c>
      <c r="H874" s="184" t="s">
        <v>112</v>
      </c>
      <c r="I874" s="184" t="s">
        <v>337</v>
      </c>
      <c r="J874" s="184" t="s">
        <v>295</v>
      </c>
      <c r="K874" s="184" t="s">
        <v>365</v>
      </c>
      <c r="L874" s="185">
        <v>1</v>
      </c>
      <c r="M874" s="186">
        <v>207.2</v>
      </c>
      <c r="N874" s="186">
        <v>0</v>
      </c>
      <c r="O874" s="125">
        <f t="shared" si="76"/>
        <v>207.2</v>
      </c>
      <c r="P874" s="125"/>
      <c r="Q874" s="73">
        <f t="shared" si="75"/>
        <v>23.64152</v>
      </c>
    </row>
    <row r="875" spans="1:17" ht="14.5" x14ac:dyDescent="0.35">
      <c r="A875" s="184" t="s">
        <v>155</v>
      </c>
      <c r="B875" s="184" t="s">
        <v>436</v>
      </c>
      <c r="C875" s="184" t="s">
        <v>228</v>
      </c>
      <c r="D875" s="185" t="s">
        <v>288</v>
      </c>
      <c r="E875" s="185">
        <v>50781</v>
      </c>
      <c r="F875" s="185" t="s">
        <v>149</v>
      </c>
      <c r="G875" s="184">
        <v>102002</v>
      </c>
      <c r="H875" s="184" t="s">
        <v>112</v>
      </c>
      <c r="I875" s="184" t="s">
        <v>337</v>
      </c>
      <c r="J875" s="184" t="s">
        <v>295</v>
      </c>
      <c r="K875" s="184" t="s">
        <v>366</v>
      </c>
      <c r="L875" s="185">
        <v>1</v>
      </c>
      <c r="M875" s="186">
        <v>342.04</v>
      </c>
      <c r="N875" s="186">
        <v>0</v>
      </c>
      <c r="O875" s="125">
        <f t="shared" si="76"/>
        <v>342.04</v>
      </c>
      <c r="P875" s="125"/>
      <c r="Q875" s="73">
        <f t="shared" si="75"/>
        <v>39.026764</v>
      </c>
    </row>
    <row r="876" spans="1:17" ht="14.5" x14ac:dyDescent="0.35">
      <c r="A876" s="184" t="s">
        <v>155</v>
      </c>
      <c r="B876" s="184" t="s">
        <v>436</v>
      </c>
      <c r="C876" s="184" t="s">
        <v>228</v>
      </c>
      <c r="D876" s="185" t="s">
        <v>288</v>
      </c>
      <c r="E876" s="185">
        <v>50782</v>
      </c>
      <c r="F876" s="185" t="s">
        <v>149</v>
      </c>
      <c r="G876" s="184">
        <v>102002</v>
      </c>
      <c r="H876" s="184" t="s">
        <v>112</v>
      </c>
      <c r="I876" s="184" t="s">
        <v>337</v>
      </c>
      <c r="J876" s="184" t="s">
        <v>295</v>
      </c>
      <c r="K876" s="184" t="s">
        <v>367</v>
      </c>
      <c r="L876" s="185">
        <v>1</v>
      </c>
      <c r="M876" s="186">
        <v>133.02000000000001</v>
      </c>
      <c r="N876" s="186">
        <v>0</v>
      </c>
      <c r="O876" s="125">
        <f t="shared" si="76"/>
        <v>133.02000000000001</v>
      </c>
      <c r="P876" s="125"/>
      <c r="Q876" s="73">
        <f t="shared" si="75"/>
        <v>15.177582000000001</v>
      </c>
    </row>
    <row r="877" spans="1:17" ht="14.5" x14ac:dyDescent="0.35">
      <c r="A877" s="184" t="s">
        <v>155</v>
      </c>
      <c r="B877" s="184" t="s">
        <v>436</v>
      </c>
      <c r="C877" s="184" t="s">
        <v>228</v>
      </c>
      <c r="D877" s="185" t="s">
        <v>288</v>
      </c>
      <c r="E877" s="185">
        <v>50783</v>
      </c>
      <c r="F877" s="185" t="s">
        <v>149</v>
      </c>
      <c r="G877" s="184">
        <v>102002</v>
      </c>
      <c r="H877" s="184" t="s">
        <v>112</v>
      </c>
      <c r="I877" s="184" t="s">
        <v>337</v>
      </c>
      <c r="J877" s="184" t="s">
        <v>295</v>
      </c>
      <c r="K877" s="184" t="s">
        <v>368</v>
      </c>
      <c r="L877" s="185">
        <v>1</v>
      </c>
      <c r="M877" s="186">
        <v>133.02000000000001</v>
      </c>
      <c r="N877" s="186">
        <v>0</v>
      </c>
      <c r="O877" s="125">
        <f t="shared" si="76"/>
        <v>133.02000000000001</v>
      </c>
      <c r="P877" s="125"/>
      <c r="Q877" s="73">
        <f t="shared" si="75"/>
        <v>15.177582000000001</v>
      </c>
    </row>
    <row r="878" spans="1:17" ht="14.5" x14ac:dyDescent="0.35">
      <c r="A878" s="184" t="s">
        <v>155</v>
      </c>
      <c r="B878" s="184" t="s">
        <v>436</v>
      </c>
      <c r="C878" s="184" t="s">
        <v>228</v>
      </c>
      <c r="D878" s="185" t="s">
        <v>288</v>
      </c>
      <c r="E878" s="185">
        <v>50784</v>
      </c>
      <c r="F878" s="185" t="s">
        <v>149</v>
      </c>
      <c r="G878" s="184">
        <v>102002</v>
      </c>
      <c r="H878" s="184" t="s">
        <v>112</v>
      </c>
      <c r="I878" s="184" t="s">
        <v>337</v>
      </c>
      <c r="J878" s="184" t="s">
        <v>295</v>
      </c>
      <c r="K878" s="184" t="s">
        <v>352</v>
      </c>
      <c r="L878" s="185">
        <v>1</v>
      </c>
      <c r="M878" s="186">
        <v>201.43</v>
      </c>
      <c r="N878" s="186">
        <v>0</v>
      </c>
      <c r="O878" s="125">
        <f t="shared" si="76"/>
        <v>201.43</v>
      </c>
      <c r="P878" s="125"/>
      <c r="Q878" s="73">
        <f t="shared" si="75"/>
        <v>22.983163000000001</v>
      </c>
    </row>
    <row r="879" spans="1:17" ht="14.5" x14ac:dyDescent="0.35">
      <c r="A879" s="184" t="s">
        <v>155</v>
      </c>
      <c r="B879" s="184" t="s">
        <v>436</v>
      </c>
      <c r="C879" s="184" t="s">
        <v>228</v>
      </c>
      <c r="D879" s="185" t="s">
        <v>288</v>
      </c>
      <c r="E879" s="185">
        <v>50785</v>
      </c>
      <c r="F879" s="185" t="s">
        <v>149</v>
      </c>
      <c r="G879" s="184">
        <v>102002</v>
      </c>
      <c r="H879" s="184" t="s">
        <v>112</v>
      </c>
      <c r="I879" s="184" t="s">
        <v>337</v>
      </c>
      <c r="J879" s="184" t="s">
        <v>295</v>
      </c>
      <c r="K879" s="184" t="s">
        <v>369</v>
      </c>
      <c r="L879" s="185">
        <v>1</v>
      </c>
      <c r="M879" s="186">
        <v>163.41999999999999</v>
      </c>
      <c r="N879" s="186">
        <v>0</v>
      </c>
      <c r="O879" s="125">
        <f t="shared" si="76"/>
        <v>163.41999999999999</v>
      </c>
      <c r="P879" s="125"/>
      <c r="Q879" s="73">
        <f t="shared" si="75"/>
        <v>18.646221999999998</v>
      </c>
    </row>
    <row r="880" spans="1:17" ht="14.5" x14ac:dyDescent="0.35">
      <c r="A880" s="184" t="s">
        <v>155</v>
      </c>
      <c r="B880" s="184" t="s">
        <v>436</v>
      </c>
      <c r="C880" s="184" t="s">
        <v>228</v>
      </c>
      <c r="D880" s="185" t="s">
        <v>288</v>
      </c>
      <c r="E880" s="185">
        <v>50786</v>
      </c>
      <c r="F880" s="185" t="s">
        <v>149</v>
      </c>
      <c r="G880" s="184">
        <v>102002</v>
      </c>
      <c r="H880" s="184" t="s">
        <v>112</v>
      </c>
      <c r="I880" s="184" t="s">
        <v>337</v>
      </c>
      <c r="J880" s="184" t="s">
        <v>295</v>
      </c>
      <c r="K880" s="184" t="s">
        <v>370</v>
      </c>
      <c r="L880" s="185">
        <v>1</v>
      </c>
      <c r="M880" s="186">
        <v>171.02</v>
      </c>
      <c r="N880" s="186">
        <v>0</v>
      </c>
      <c r="O880" s="125">
        <f t="shared" si="76"/>
        <v>171.02</v>
      </c>
      <c r="P880" s="125"/>
      <c r="Q880" s="73">
        <f t="shared" si="75"/>
        <v>19.513382</v>
      </c>
    </row>
    <row r="881" spans="1:17" ht="14.5" x14ac:dyDescent="0.35">
      <c r="A881" s="184" t="s">
        <v>155</v>
      </c>
      <c r="B881" s="184" t="s">
        <v>436</v>
      </c>
      <c r="C881" s="184" t="s">
        <v>228</v>
      </c>
      <c r="D881" s="185" t="s">
        <v>288</v>
      </c>
      <c r="E881" s="185">
        <v>50787</v>
      </c>
      <c r="F881" s="185" t="s">
        <v>149</v>
      </c>
      <c r="G881" s="184">
        <v>102002</v>
      </c>
      <c r="H881" s="184" t="s">
        <v>112</v>
      </c>
      <c r="I881" s="184" t="s">
        <v>337</v>
      </c>
      <c r="J881" s="184" t="s">
        <v>295</v>
      </c>
      <c r="K881" s="184" t="s">
        <v>371</v>
      </c>
      <c r="L881" s="185">
        <v>1</v>
      </c>
      <c r="M881" s="186">
        <v>440.86</v>
      </c>
      <c r="N881" s="186">
        <v>0</v>
      </c>
      <c r="O881" s="125">
        <f t="shared" si="76"/>
        <v>440.86</v>
      </c>
      <c r="P881" s="125"/>
      <c r="Q881" s="73">
        <f t="shared" si="75"/>
        <v>50.302126000000008</v>
      </c>
    </row>
    <row r="882" spans="1:17" ht="14.5" x14ac:dyDescent="0.35">
      <c r="A882" s="184" t="s">
        <v>155</v>
      </c>
      <c r="B882" s="184" t="s">
        <v>436</v>
      </c>
      <c r="C882" s="184" t="s">
        <v>228</v>
      </c>
      <c r="D882" s="185" t="s">
        <v>288</v>
      </c>
      <c r="E882" s="185">
        <v>50788</v>
      </c>
      <c r="F882" s="185" t="s">
        <v>149</v>
      </c>
      <c r="G882" s="184">
        <v>102002</v>
      </c>
      <c r="H882" s="184" t="s">
        <v>112</v>
      </c>
      <c r="I882" s="184" t="s">
        <v>337</v>
      </c>
      <c r="J882" s="184" t="s">
        <v>295</v>
      </c>
      <c r="K882" s="184" t="s">
        <v>372</v>
      </c>
      <c r="L882" s="185">
        <v>1</v>
      </c>
      <c r="M882" s="186">
        <v>220.43</v>
      </c>
      <c r="N882" s="186">
        <v>0</v>
      </c>
      <c r="O882" s="125">
        <f t="shared" si="76"/>
        <v>220.43</v>
      </c>
      <c r="P882" s="125"/>
      <c r="Q882" s="73">
        <f t="shared" si="75"/>
        <v>25.151063000000004</v>
      </c>
    </row>
    <row r="883" spans="1:17" ht="14.5" x14ac:dyDescent="0.35">
      <c r="A883" s="184" t="s">
        <v>155</v>
      </c>
      <c r="B883" s="184" t="s">
        <v>436</v>
      </c>
      <c r="C883" s="184" t="s">
        <v>228</v>
      </c>
      <c r="D883" s="185" t="s">
        <v>288</v>
      </c>
      <c r="E883" s="185">
        <v>50789</v>
      </c>
      <c r="F883" s="185" t="s">
        <v>149</v>
      </c>
      <c r="G883" s="184">
        <v>102002</v>
      </c>
      <c r="H883" s="184" t="s">
        <v>112</v>
      </c>
      <c r="I883" s="184" t="s">
        <v>337</v>
      </c>
      <c r="J883" s="184" t="s">
        <v>295</v>
      </c>
      <c r="K883" s="184" t="s">
        <v>373</v>
      </c>
      <c r="L883" s="185">
        <v>1</v>
      </c>
      <c r="M883" s="186">
        <v>209.03</v>
      </c>
      <c r="N883" s="186">
        <v>0</v>
      </c>
      <c r="O883" s="125">
        <f t="shared" si="76"/>
        <v>209.03</v>
      </c>
      <c r="P883" s="125"/>
      <c r="Q883" s="73">
        <f t="shared" si="75"/>
        <v>23.850323000000003</v>
      </c>
    </row>
    <row r="884" spans="1:17" ht="14.5" x14ac:dyDescent="0.35">
      <c r="A884" s="184" t="s">
        <v>155</v>
      </c>
      <c r="B884" s="184" t="s">
        <v>436</v>
      </c>
      <c r="C884" s="184" t="s">
        <v>228</v>
      </c>
      <c r="D884" s="185" t="s">
        <v>288</v>
      </c>
      <c r="E884" s="185">
        <v>50790</v>
      </c>
      <c r="F884" s="185" t="s">
        <v>149</v>
      </c>
      <c r="G884" s="184">
        <v>102002</v>
      </c>
      <c r="H884" s="184" t="s">
        <v>112</v>
      </c>
      <c r="I884" s="184" t="s">
        <v>337</v>
      </c>
      <c r="J884" s="184" t="s">
        <v>295</v>
      </c>
      <c r="K884" s="184" t="s">
        <v>351</v>
      </c>
      <c r="L884" s="185">
        <v>1</v>
      </c>
      <c r="M884" s="186">
        <v>296.44</v>
      </c>
      <c r="N884" s="186">
        <v>0</v>
      </c>
      <c r="O884" s="125">
        <f t="shared" si="76"/>
        <v>296.44</v>
      </c>
      <c r="P884" s="125"/>
      <c r="Q884" s="73">
        <f t="shared" si="75"/>
        <v>33.823804000000003</v>
      </c>
    </row>
    <row r="885" spans="1:17" ht="14.5" x14ac:dyDescent="0.35">
      <c r="A885" s="184" t="s">
        <v>155</v>
      </c>
      <c r="B885" s="184" t="s">
        <v>436</v>
      </c>
      <c r="C885" s="184" t="s">
        <v>228</v>
      </c>
      <c r="D885" s="185" t="s">
        <v>288</v>
      </c>
      <c r="E885" s="185">
        <v>50791</v>
      </c>
      <c r="F885" s="185" t="s">
        <v>149</v>
      </c>
      <c r="G885" s="184">
        <v>102002</v>
      </c>
      <c r="H885" s="184" t="s">
        <v>112</v>
      </c>
      <c r="I885" s="184" t="s">
        <v>337</v>
      </c>
      <c r="J885" s="184" t="s">
        <v>295</v>
      </c>
      <c r="K885" s="184" t="s">
        <v>374</v>
      </c>
      <c r="L885" s="185">
        <v>1</v>
      </c>
      <c r="M885" s="186">
        <v>133.02000000000001</v>
      </c>
      <c r="N885" s="186">
        <v>0</v>
      </c>
      <c r="O885" s="125">
        <f t="shared" si="76"/>
        <v>133.02000000000001</v>
      </c>
      <c r="P885" s="125"/>
      <c r="Q885" s="73">
        <f t="shared" si="75"/>
        <v>15.177582000000001</v>
      </c>
    </row>
    <row r="886" spans="1:17" ht="14.5" x14ac:dyDescent="0.35">
      <c r="A886" s="184" t="s">
        <v>155</v>
      </c>
      <c r="B886" s="184" t="s">
        <v>436</v>
      </c>
      <c r="C886" s="184" t="s">
        <v>228</v>
      </c>
      <c r="D886" s="185" t="s">
        <v>288</v>
      </c>
      <c r="E886" s="185">
        <v>50792</v>
      </c>
      <c r="F886" s="185" t="s">
        <v>149</v>
      </c>
      <c r="G886" s="184">
        <v>102002</v>
      </c>
      <c r="H886" s="184" t="s">
        <v>112</v>
      </c>
      <c r="I886" s="184" t="s">
        <v>337</v>
      </c>
      <c r="J886" s="184" t="s">
        <v>295</v>
      </c>
      <c r="K886" s="184" t="s">
        <v>375</v>
      </c>
      <c r="L886" s="185">
        <v>1</v>
      </c>
      <c r="M886" s="186">
        <v>63.52</v>
      </c>
      <c r="N886" s="186">
        <v>0</v>
      </c>
      <c r="O886" s="125">
        <f t="shared" si="76"/>
        <v>63.52</v>
      </c>
      <c r="P886" s="125"/>
      <c r="Q886" s="73">
        <f t="shared" si="75"/>
        <v>7.2476320000000003</v>
      </c>
    </row>
    <row r="887" spans="1:17" ht="14.5" x14ac:dyDescent="0.35">
      <c r="A887" s="184" t="s">
        <v>155</v>
      </c>
      <c r="B887" s="184" t="s">
        <v>436</v>
      </c>
      <c r="C887" s="184" t="s">
        <v>228</v>
      </c>
      <c r="D887" s="185" t="s">
        <v>288</v>
      </c>
      <c r="E887" s="185">
        <v>50793</v>
      </c>
      <c r="F887" s="185" t="s">
        <v>149</v>
      </c>
      <c r="G887" s="184">
        <v>102003</v>
      </c>
      <c r="H887" s="184" t="s">
        <v>110</v>
      </c>
      <c r="I887" s="184" t="s">
        <v>337</v>
      </c>
      <c r="J887" s="184" t="s">
        <v>295</v>
      </c>
      <c r="K887" s="184" t="s">
        <v>423</v>
      </c>
      <c r="L887" s="185">
        <v>1</v>
      </c>
      <c r="M887" s="186">
        <v>156.11000000000001</v>
      </c>
      <c r="N887" s="186">
        <v>0</v>
      </c>
      <c r="O887" s="125">
        <f t="shared" si="76"/>
        <v>156.11000000000001</v>
      </c>
      <c r="P887" s="125"/>
      <c r="Q887" s="73">
        <f t="shared" si="75"/>
        <v>17.812151000000004</v>
      </c>
    </row>
    <row r="888" spans="1:17" ht="14.5" x14ac:dyDescent="0.35">
      <c r="A888" s="184" t="s">
        <v>155</v>
      </c>
      <c r="B888" s="184" t="s">
        <v>436</v>
      </c>
      <c r="C888" s="184" t="s">
        <v>228</v>
      </c>
      <c r="D888" s="185" t="s">
        <v>288</v>
      </c>
      <c r="E888" s="185">
        <v>50795</v>
      </c>
      <c r="F888" s="185" t="s">
        <v>149</v>
      </c>
      <c r="G888" s="184">
        <v>102003</v>
      </c>
      <c r="H888" s="184" t="s">
        <v>110</v>
      </c>
      <c r="I888" s="184" t="s">
        <v>337</v>
      </c>
      <c r="J888" s="184" t="s">
        <v>295</v>
      </c>
      <c r="K888" s="184" t="s">
        <v>353</v>
      </c>
      <c r="L888" s="185">
        <v>1</v>
      </c>
      <c r="M888" s="186">
        <v>403.22</v>
      </c>
      <c r="N888" s="186">
        <v>0</v>
      </c>
      <c r="O888" s="125">
        <f t="shared" si="76"/>
        <v>403.22</v>
      </c>
      <c r="P888" s="125"/>
      <c r="Q888" s="73">
        <f t="shared" si="75"/>
        <v>46.007402000000006</v>
      </c>
    </row>
    <row r="889" spans="1:17" ht="14.5" x14ac:dyDescent="0.35">
      <c r="A889" s="184" t="s">
        <v>155</v>
      </c>
      <c r="B889" s="184" t="s">
        <v>436</v>
      </c>
      <c r="C889" s="184" t="s">
        <v>228</v>
      </c>
      <c r="D889" s="185" t="s">
        <v>288</v>
      </c>
      <c r="E889" s="185">
        <v>50796</v>
      </c>
      <c r="F889" s="185" t="s">
        <v>149</v>
      </c>
      <c r="G889" s="184">
        <v>102003</v>
      </c>
      <c r="H889" s="184" t="s">
        <v>110</v>
      </c>
      <c r="I889" s="184" t="s">
        <v>337</v>
      </c>
      <c r="J889" s="184" t="s">
        <v>295</v>
      </c>
      <c r="K889" s="184" t="s">
        <v>354</v>
      </c>
      <c r="L889" s="185">
        <v>1</v>
      </c>
      <c r="M889" s="186">
        <v>513.19000000000005</v>
      </c>
      <c r="N889" s="186">
        <v>0</v>
      </c>
      <c r="O889" s="125">
        <f t="shared" si="76"/>
        <v>513.19000000000005</v>
      </c>
      <c r="P889" s="125"/>
      <c r="Q889" s="73">
        <f t="shared" si="75"/>
        <v>58.55497900000001</v>
      </c>
    </row>
    <row r="890" spans="1:17" ht="14.5" x14ac:dyDescent="0.35">
      <c r="A890" s="184" t="s">
        <v>155</v>
      </c>
      <c r="B890" s="184" t="s">
        <v>436</v>
      </c>
      <c r="C890" s="184" t="s">
        <v>228</v>
      </c>
      <c r="D890" s="185" t="s">
        <v>288</v>
      </c>
      <c r="E890" s="185">
        <v>50797</v>
      </c>
      <c r="F890" s="185" t="s">
        <v>149</v>
      </c>
      <c r="G890" s="184">
        <v>102003</v>
      </c>
      <c r="H890" s="184" t="s">
        <v>110</v>
      </c>
      <c r="I890" s="184" t="s">
        <v>337</v>
      </c>
      <c r="J890" s="184" t="s">
        <v>295</v>
      </c>
      <c r="K890" s="184" t="s">
        <v>355</v>
      </c>
      <c r="L890" s="185">
        <v>1</v>
      </c>
      <c r="M890" s="186">
        <v>366.56</v>
      </c>
      <c r="N890" s="186">
        <v>0</v>
      </c>
      <c r="O890" s="125">
        <f t="shared" si="76"/>
        <v>366.56</v>
      </c>
      <c r="P890" s="125"/>
      <c r="Q890" s="73">
        <f t="shared" si="75"/>
        <v>41.824495999999996</v>
      </c>
    </row>
    <row r="891" spans="1:17" ht="14.5" x14ac:dyDescent="0.35">
      <c r="A891" s="184" t="s">
        <v>155</v>
      </c>
      <c r="B891" s="184" t="s">
        <v>436</v>
      </c>
      <c r="C891" s="184" t="s">
        <v>228</v>
      </c>
      <c r="D891" s="185" t="s">
        <v>288</v>
      </c>
      <c r="E891" s="185">
        <v>50798</v>
      </c>
      <c r="F891" s="185" t="s">
        <v>149</v>
      </c>
      <c r="G891" s="184">
        <v>102003</v>
      </c>
      <c r="H891" s="184" t="s">
        <v>110</v>
      </c>
      <c r="I891" s="184" t="s">
        <v>337</v>
      </c>
      <c r="J891" s="184" t="s">
        <v>295</v>
      </c>
      <c r="K891" s="184" t="s">
        <v>356</v>
      </c>
      <c r="L891" s="185">
        <v>1</v>
      </c>
      <c r="M891" s="186">
        <v>293.25</v>
      </c>
      <c r="N891" s="186">
        <v>0</v>
      </c>
      <c r="O891" s="125">
        <f t="shared" si="76"/>
        <v>293.25</v>
      </c>
      <c r="P891" s="125"/>
      <c r="Q891" s="73">
        <f t="shared" si="75"/>
        <v>33.459825000000002</v>
      </c>
    </row>
    <row r="892" spans="1:17" ht="14.5" x14ac:dyDescent="0.35">
      <c r="A892" s="184" t="s">
        <v>155</v>
      </c>
      <c r="B892" s="184" t="s">
        <v>436</v>
      </c>
      <c r="C892" s="184" t="s">
        <v>228</v>
      </c>
      <c r="D892" s="185" t="s">
        <v>288</v>
      </c>
      <c r="E892" s="185">
        <v>50799</v>
      </c>
      <c r="F892" s="185" t="s">
        <v>149</v>
      </c>
      <c r="G892" s="184">
        <v>102003</v>
      </c>
      <c r="H892" s="184" t="s">
        <v>110</v>
      </c>
      <c r="I892" s="184" t="s">
        <v>337</v>
      </c>
      <c r="J892" s="184" t="s">
        <v>295</v>
      </c>
      <c r="K892" s="184" t="s">
        <v>357</v>
      </c>
      <c r="L892" s="185">
        <v>1</v>
      </c>
      <c r="M892" s="186">
        <v>329.9</v>
      </c>
      <c r="N892" s="186">
        <v>0</v>
      </c>
      <c r="O892" s="125">
        <f t="shared" si="76"/>
        <v>329.9</v>
      </c>
      <c r="P892" s="125"/>
      <c r="Q892" s="73">
        <f t="shared" si="75"/>
        <v>37.641590000000001</v>
      </c>
    </row>
    <row r="893" spans="1:17" ht="14.5" x14ac:dyDescent="0.35">
      <c r="A893" s="184" t="s">
        <v>155</v>
      </c>
      <c r="B893" s="184" t="s">
        <v>436</v>
      </c>
      <c r="C893" s="184" t="s">
        <v>228</v>
      </c>
      <c r="D893" s="185" t="s">
        <v>288</v>
      </c>
      <c r="E893" s="185">
        <v>50800</v>
      </c>
      <c r="F893" s="185" t="s">
        <v>149</v>
      </c>
      <c r="G893" s="184">
        <v>102003</v>
      </c>
      <c r="H893" s="184" t="s">
        <v>110</v>
      </c>
      <c r="I893" s="184" t="s">
        <v>337</v>
      </c>
      <c r="J893" s="184" t="s">
        <v>295</v>
      </c>
      <c r="K893" s="184" t="s">
        <v>358</v>
      </c>
      <c r="L893" s="185">
        <v>1</v>
      </c>
      <c r="M893" s="186">
        <v>513.19000000000005</v>
      </c>
      <c r="N893" s="186">
        <v>0</v>
      </c>
      <c r="O893" s="125">
        <f t="shared" si="76"/>
        <v>513.19000000000005</v>
      </c>
      <c r="P893" s="125"/>
      <c r="Q893" s="73">
        <f t="shared" si="75"/>
        <v>58.55497900000001</v>
      </c>
    </row>
    <row r="894" spans="1:17" ht="14.5" x14ac:dyDescent="0.35">
      <c r="A894" s="184" t="s">
        <v>155</v>
      </c>
      <c r="B894" s="184" t="s">
        <v>436</v>
      </c>
      <c r="C894" s="184" t="s">
        <v>228</v>
      </c>
      <c r="D894" s="185" t="s">
        <v>288</v>
      </c>
      <c r="E894" s="185">
        <v>50801</v>
      </c>
      <c r="F894" s="185" t="s">
        <v>149</v>
      </c>
      <c r="G894" s="184">
        <v>102003</v>
      </c>
      <c r="H894" s="184" t="s">
        <v>110</v>
      </c>
      <c r="I894" s="184" t="s">
        <v>337</v>
      </c>
      <c r="J894" s="184" t="s">
        <v>295</v>
      </c>
      <c r="K894" s="184" t="s">
        <v>361</v>
      </c>
      <c r="L894" s="185">
        <v>1</v>
      </c>
      <c r="M894" s="186">
        <v>73.31</v>
      </c>
      <c r="N894" s="186">
        <v>0</v>
      </c>
      <c r="O894" s="125">
        <f t="shared" si="76"/>
        <v>73.31</v>
      </c>
      <c r="P894" s="125"/>
      <c r="Q894" s="73">
        <f t="shared" si="75"/>
        <v>8.3646710000000013</v>
      </c>
    </row>
    <row r="895" spans="1:17" ht="14.5" x14ac:dyDescent="0.35">
      <c r="A895" s="184" t="s">
        <v>155</v>
      </c>
      <c r="B895" s="184" t="s">
        <v>436</v>
      </c>
      <c r="C895" s="184" t="s">
        <v>228</v>
      </c>
      <c r="D895" s="185" t="s">
        <v>288</v>
      </c>
      <c r="E895" s="185">
        <v>50802</v>
      </c>
      <c r="F895" s="185" t="s">
        <v>149</v>
      </c>
      <c r="G895" s="184">
        <v>102003</v>
      </c>
      <c r="H895" s="184" t="s">
        <v>110</v>
      </c>
      <c r="I895" s="184" t="s">
        <v>337</v>
      </c>
      <c r="J895" s="184" t="s">
        <v>295</v>
      </c>
      <c r="K895" s="184" t="s">
        <v>359</v>
      </c>
      <c r="L895" s="185">
        <v>1</v>
      </c>
      <c r="M895" s="186">
        <v>439.87</v>
      </c>
      <c r="N895" s="186">
        <v>0</v>
      </c>
      <c r="O895" s="125">
        <f t="shared" si="76"/>
        <v>439.87</v>
      </c>
      <c r="P895" s="125"/>
      <c r="Q895" s="73">
        <f t="shared" si="75"/>
        <v>50.189167000000005</v>
      </c>
    </row>
    <row r="896" spans="1:17" ht="14.5" x14ac:dyDescent="0.35">
      <c r="A896" s="184" t="s">
        <v>155</v>
      </c>
      <c r="B896" s="184" t="s">
        <v>436</v>
      </c>
      <c r="C896" s="184" t="s">
        <v>228</v>
      </c>
      <c r="D896" s="185" t="s">
        <v>288</v>
      </c>
      <c r="E896" s="185">
        <v>50803</v>
      </c>
      <c r="F896" s="185" t="s">
        <v>149</v>
      </c>
      <c r="G896" s="184">
        <v>102003</v>
      </c>
      <c r="H896" s="184" t="s">
        <v>110</v>
      </c>
      <c r="I896" s="184" t="s">
        <v>337</v>
      </c>
      <c r="J896" s="184" t="s">
        <v>295</v>
      </c>
      <c r="K896" s="184" t="s">
        <v>360</v>
      </c>
      <c r="L896" s="185">
        <v>1</v>
      </c>
      <c r="M896" s="186">
        <v>380.77</v>
      </c>
      <c r="N896" s="186">
        <v>0</v>
      </c>
      <c r="O896" s="125">
        <f t="shared" si="76"/>
        <v>380.77</v>
      </c>
      <c r="P896" s="125"/>
      <c r="Q896" s="73">
        <f t="shared" si="75"/>
        <v>43.445856999999997</v>
      </c>
    </row>
    <row r="897" spans="1:17" ht="14.5" x14ac:dyDescent="0.35">
      <c r="A897" s="184" t="s">
        <v>155</v>
      </c>
      <c r="B897" s="184" t="s">
        <v>436</v>
      </c>
      <c r="C897" s="184" t="s">
        <v>228</v>
      </c>
      <c r="D897" s="185" t="s">
        <v>288</v>
      </c>
      <c r="E897" s="185">
        <v>50804</v>
      </c>
      <c r="F897" s="185" t="s">
        <v>149</v>
      </c>
      <c r="G897" s="184">
        <v>102003</v>
      </c>
      <c r="H897" s="184" t="s">
        <v>110</v>
      </c>
      <c r="I897" s="184" t="s">
        <v>337</v>
      </c>
      <c r="J897" s="184" t="s">
        <v>295</v>
      </c>
      <c r="K897" s="184" t="s">
        <v>362</v>
      </c>
      <c r="L897" s="185">
        <v>1</v>
      </c>
      <c r="M897" s="186">
        <v>329.9</v>
      </c>
      <c r="N897" s="186">
        <v>0</v>
      </c>
      <c r="O897" s="125">
        <f t="shared" si="76"/>
        <v>329.9</v>
      </c>
      <c r="P897" s="125"/>
      <c r="Q897" s="73">
        <f t="shared" si="75"/>
        <v>37.641590000000001</v>
      </c>
    </row>
    <row r="898" spans="1:17" ht="14.5" x14ac:dyDescent="0.35">
      <c r="A898" s="184" t="s">
        <v>155</v>
      </c>
      <c r="B898" s="184" t="s">
        <v>436</v>
      </c>
      <c r="C898" s="184" t="s">
        <v>228</v>
      </c>
      <c r="D898" s="185" t="s">
        <v>288</v>
      </c>
      <c r="E898" s="185">
        <v>50805</v>
      </c>
      <c r="F898" s="185" t="s">
        <v>149</v>
      </c>
      <c r="G898" s="184">
        <v>102003</v>
      </c>
      <c r="H898" s="184" t="s">
        <v>110</v>
      </c>
      <c r="I898" s="184" t="s">
        <v>337</v>
      </c>
      <c r="J898" s="184" t="s">
        <v>295</v>
      </c>
      <c r="K898" s="184" t="s">
        <v>363</v>
      </c>
      <c r="L898" s="185">
        <v>1</v>
      </c>
      <c r="M898" s="186">
        <v>403.22</v>
      </c>
      <c r="N898" s="186">
        <v>0</v>
      </c>
      <c r="O898" s="125">
        <f t="shared" si="76"/>
        <v>403.22</v>
      </c>
      <c r="P898" s="125"/>
      <c r="Q898" s="73">
        <f t="shared" si="75"/>
        <v>46.007402000000006</v>
      </c>
    </row>
    <row r="899" spans="1:17" ht="14.5" x14ac:dyDescent="0.35">
      <c r="A899" s="184" t="s">
        <v>155</v>
      </c>
      <c r="B899" s="184" t="s">
        <v>436</v>
      </c>
      <c r="C899" s="184" t="s">
        <v>228</v>
      </c>
      <c r="D899" s="185" t="s">
        <v>288</v>
      </c>
      <c r="E899" s="185">
        <v>50806</v>
      </c>
      <c r="F899" s="185" t="s">
        <v>149</v>
      </c>
      <c r="G899" s="184">
        <v>102003</v>
      </c>
      <c r="H899" s="184" t="s">
        <v>110</v>
      </c>
      <c r="I899" s="184" t="s">
        <v>337</v>
      </c>
      <c r="J899" s="184" t="s">
        <v>295</v>
      </c>
      <c r="K899" s="184" t="s">
        <v>364</v>
      </c>
      <c r="L899" s="185">
        <v>1</v>
      </c>
      <c r="M899" s="186">
        <v>733.12</v>
      </c>
      <c r="N899" s="186">
        <v>0</v>
      </c>
      <c r="O899" s="125">
        <f t="shared" si="76"/>
        <v>733.12</v>
      </c>
      <c r="P899" s="125"/>
      <c r="Q899" s="73">
        <f t="shared" ref="Q899:Q962" si="77">M899*$Q$7*1.141</f>
        <v>83.648991999999993</v>
      </c>
    </row>
    <row r="900" spans="1:17" ht="14.5" x14ac:dyDescent="0.35">
      <c r="A900" s="184" t="s">
        <v>155</v>
      </c>
      <c r="B900" s="184" t="s">
        <v>436</v>
      </c>
      <c r="C900" s="184" t="s">
        <v>228</v>
      </c>
      <c r="D900" s="185" t="s">
        <v>288</v>
      </c>
      <c r="E900" s="185">
        <v>50807</v>
      </c>
      <c r="F900" s="185" t="s">
        <v>149</v>
      </c>
      <c r="G900" s="184">
        <v>102003</v>
      </c>
      <c r="H900" s="184" t="s">
        <v>110</v>
      </c>
      <c r="I900" s="184" t="s">
        <v>337</v>
      </c>
      <c r="J900" s="184" t="s">
        <v>295</v>
      </c>
      <c r="K900" s="184" t="s">
        <v>365</v>
      </c>
      <c r="L900" s="185">
        <v>1</v>
      </c>
      <c r="M900" s="186">
        <v>399.7</v>
      </c>
      <c r="N900" s="186">
        <v>0</v>
      </c>
      <c r="O900" s="125">
        <f t="shared" si="76"/>
        <v>399.7</v>
      </c>
      <c r="P900" s="125"/>
      <c r="Q900" s="73">
        <f t="shared" si="77"/>
        <v>45.60577</v>
      </c>
    </row>
    <row r="901" spans="1:17" ht="14.5" x14ac:dyDescent="0.35">
      <c r="A901" s="184" t="s">
        <v>155</v>
      </c>
      <c r="B901" s="184" t="s">
        <v>436</v>
      </c>
      <c r="C901" s="184" t="s">
        <v>228</v>
      </c>
      <c r="D901" s="185" t="s">
        <v>288</v>
      </c>
      <c r="E901" s="185">
        <v>50808</v>
      </c>
      <c r="F901" s="185" t="s">
        <v>149</v>
      </c>
      <c r="G901" s="184">
        <v>102003</v>
      </c>
      <c r="H901" s="184" t="s">
        <v>110</v>
      </c>
      <c r="I901" s="184" t="s">
        <v>337</v>
      </c>
      <c r="J901" s="184" t="s">
        <v>295</v>
      </c>
      <c r="K901" s="184" t="s">
        <v>366</v>
      </c>
      <c r="L901" s="185">
        <v>1</v>
      </c>
      <c r="M901" s="186">
        <v>659.81</v>
      </c>
      <c r="N901" s="186">
        <v>0</v>
      </c>
      <c r="O901" s="125">
        <f t="shared" si="76"/>
        <v>659.81</v>
      </c>
      <c r="P901" s="125"/>
      <c r="Q901" s="73">
        <f t="shared" si="77"/>
        <v>75.284320999999991</v>
      </c>
    </row>
    <row r="902" spans="1:17" ht="14.5" x14ac:dyDescent="0.35">
      <c r="A902" s="184" t="s">
        <v>155</v>
      </c>
      <c r="B902" s="184" t="s">
        <v>436</v>
      </c>
      <c r="C902" s="184" t="s">
        <v>228</v>
      </c>
      <c r="D902" s="185" t="s">
        <v>288</v>
      </c>
      <c r="E902" s="185">
        <v>50809</v>
      </c>
      <c r="F902" s="185" t="s">
        <v>149</v>
      </c>
      <c r="G902" s="184">
        <v>102003</v>
      </c>
      <c r="H902" s="184" t="s">
        <v>110</v>
      </c>
      <c r="I902" s="184" t="s">
        <v>337</v>
      </c>
      <c r="J902" s="184" t="s">
        <v>295</v>
      </c>
      <c r="K902" s="184" t="s">
        <v>367</v>
      </c>
      <c r="L902" s="185">
        <v>1</v>
      </c>
      <c r="M902" s="186">
        <v>256.58999999999997</v>
      </c>
      <c r="N902" s="186">
        <v>0</v>
      </c>
      <c r="O902" s="125">
        <f t="shared" si="76"/>
        <v>256.58999999999997</v>
      </c>
      <c r="P902" s="125"/>
      <c r="Q902" s="73">
        <f t="shared" si="77"/>
        <v>29.276918999999999</v>
      </c>
    </row>
    <row r="903" spans="1:17" ht="14.5" x14ac:dyDescent="0.35">
      <c r="A903" s="184" t="s">
        <v>155</v>
      </c>
      <c r="B903" s="184" t="s">
        <v>436</v>
      </c>
      <c r="C903" s="184" t="s">
        <v>228</v>
      </c>
      <c r="D903" s="185" t="s">
        <v>288</v>
      </c>
      <c r="E903" s="185">
        <v>50810</v>
      </c>
      <c r="F903" s="185" t="s">
        <v>149</v>
      </c>
      <c r="G903" s="184">
        <v>102003</v>
      </c>
      <c r="H903" s="184" t="s">
        <v>110</v>
      </c>
      <c r="I903" s="184" t="s">
        <v>337</v>
      </c>
      <c r="J903" s="184" t="s">
        <v>295</v>
      </c>
      <c r="K903" s="184" t="s">
        <v>368</v>
      </c>
      <c r="L903" s="185">
        <v>1</v>
      </c>
      <c r="M903" s="186">
        <v>256.58999999999997</v>
      </c>
      <c r="N903" s="186">
        <v>0</v>
      </c>
      <c r="O903" s="125">
        <f t="shared" si="76"/>
        <v>256.58999999999997</v>
      </c>
      <c r="P903" s="125"/>
      <c r="Q903" s="73">
        <f t="shared" si="77"/>
        <v>29.276918999999999</v>
      </c>
    </row>
    <row r="904" spans="1:17" ht="14.5" x14ac:dyDescent="0.35">
      <c r="A904" s="184" t="s">
        <v>155</v>
      </c>
      <c r="B904" s="184" t="s">
        <v>436</v>
      </c>
      <c r="C904" s="184" t="s">
        <v>228</v>
      </c>
      <c r="D904" s="185" t="s">
        <v>288</v>
      </c>
      <c r="E904" s="185">
        <v>50811</v>
      </c>
      <c r="F904" s="185" t="s">
        <v>149</v>
      </c>
      <c r="G904" s="184">
        <v>102003</v>
      </c>
      <c r="H904" s="184" t="s">
        <v>110</v>
      </c>
      <c r="I904" s="184" t="s">
        <v>337</v>
      </c>
      <c r="J904" s="184" t="s">
        <v>295</v>
      </c>
      <c r="K904" s="184" t="s">
        <v>352</v>
      </c>
      <c r="L904" s="185">
        <v>1</v>
      </c>
      <c r="M904" s="186">
        <v>388.55</v>
      </c>
      <c r="N904" s="186">
        <v>0</v>
      </c>
      <c r="O904" s="125">
        <f t="shared" ref="O904:O967" si="78">M904-N904</f>
        <v>388.55</v>
      </c>
      <c r="P904" s="125"/>
      <c r="Q904" s="73">
        <f t="shared" si="77"/>
        <v>44.333555000000004</v>
      </c>
    </row>
    <row r="905" spans="1:17" ht="14.5" x14ac:dyDescent="0.35">
      <c r="A905" s="184" t="s">
        <v>155</v>
      </c>
      <c r="B905" s="184" t="s">
        <v>436</v>
      </c>
      <c r="C905" s="184" t="s">
        <v>228</v>
      </c>
      <c r="D905" s="185" t="s">
        <v>288</v>
      </c>
      <c r="E905" s="185">
        <v>50812</v>
      </c>
      <c r="F905" s="185" t="s">
        <v>149</v>
      </c>
      <c r="G905" s="184">
        <v>102003</v>
      </c>
      <c r="H905" s="184" t="s">
        <v>110</v>
      </c>
      <c r="I905" s="184" t="s">
        <v>337</v>
      </c>
      <c r="J905" s="184" t="s">
        <v>295</v>
      </c>
      <c r="K905" s="184" t="s">
        <v>369</v>
      </c>
      <c r="L905" s="185">
        <v>1</v>
      </c>
      <c r="M905" s="186">
        <v>315.24</v>
      </c>
      <c r="N905" s="186">
        <v>0</v>
      </c>
      <c r="O905" s="125">
        <f t="shared" si="78"/>
        <v>315.24</v>
      </c>
      <c r="P905" s="125"/>
      <c r="Q905" s="73">
        <f t="shared" si="77"/>
        <v>35.968884000000003</v>
      </c>
    </row>
    <row r="906" spans="1:17" ht="14.5" x14ac:dyDescent="0.35">
      <c r="A906" s="184" t="s">
        <v>155</v>
      </c>
      <c r="B906" s="184" t="s">
        <v>436</v>
      </c>
      <c r="C906" s="184" t="s">
        <v>228</v>
      </c>
      <c r="D906" s="185" t="s">
        <v>288</v>
      </c>
      <c r="E906" s="185">
        <v>50813</v>
      </c>
      <c r="F906" s="185" t="s">
        <v>149</v>
      </c>
      <c r="G906" s="184">
        <v>102003</v>
      </c>
      <c r="H906" s="184" t="s">
        <v>110</v>
      </c>
      <c r="I906" s="184" t="s">
        <v>337</v>
      </c>
      <c r="J906" s="184" t="s">
        <v>295</v>
      </c>
      <c r="K906" s="184" t="s">
        <v>370</v>
      </c>
      <c r="L906" s="185">
        <v>1</v>
      </c>
      <c r="M906" s="186">
        <v>329.9</v>
      </c>
      <c r="N906" s="186">
        <v>0</v>
      </c>
      <c r="O906" s="125">
        <f t="shared" si="78"/>
        <v>329.9</v>
      </c>
      <c r="P906" s="125"/>
      <c r="Q906" s="73">
        <f t="shared" si="77"/>
        <v>37.641590000000001</v>
      </c>
    </row>
    <row r="907" spans="1:17" ht="14.5" x14ac:dyDescent="0.35">
      <c r="A907" s="184" t="s">
        <v>155</v>
      </c>
      <c r="B907" s="184" t="s">
        <v>436</v>
      </c>
      <c r="C907" s="184" t="s">
        <v>228</v>
      </c>
      <c r="D907" s="185" t="s">
        <v>288</v>
      </c>
      <c r="E907" s="185">
        <v>50814</v>
      </c>
      <c r="F907" s="185" t="s">
        <v>149</v>
      </c>
      <c r="G907" s="184">
        <v>102003</v>
      </c>
      <c r="H907" s="184" t="s">
        <v>110</v>
      </c>
      <c r="I907" s="184" t="s">
        <v>337</v>
      </c>
      <c r="J907" s="184" t="s">
        <v>295</v>
      </c>
      <c r="K907" s="184" t="s">
        <v>371</v>
      </c>
      <c r="L907" s="185">
        <v>1</v>
      </c>
      <c r="M907" s="186">
        <v>850.42</v>
      </c>
      <c r="N907" s="186">
        <v>0</v>
      </c>
      <c r="O907" s="125">
        <f t="shared" si="78"/>
        <v>850.42</v>
      </c>
      <c r="P907" s="125"/>
      <c r="Q907" s="73">
        <f t="shared" si="77"/>
        <v>97.032921999999999</v>
      </c>
    </row>
    <row r="908" spans="1:17" ht="14.5" x14ac:dyDescent="0.35">
      <c r="A908" s="184" t="s">
        <v>155</v>
      </c>
      <c r="B908" s="184" t="s">
        <v>436</v>
      </c>
      <c r="C908" s="184" t="s">
        <v>228</v>
      </c>
      <c r="D908" s="185" t="s">
        <v>288</v>
      </c>
      <c r="E908" s="185">
        <v>50815</v>
      </c>
      <c r="F908" s="185" t="s">
        <v>149</v>
      </c>
      <c r="G908" s="184">
        <v>102003</v>
      </c>
      <c r="H908" s="184" t="s">
        <v>110</v>
      </c>
      <c r="I908" s="184" t="s">
        <v>337</v>
      </c>
      <c r="J908" s="184" t="s">
        <v>295</v>
      </c>
      <c r="K908" s="184" t="s">
        <v>372</v>
      </c>
      <c r="L908" s="185">
        <v>1</v>
      </c>
      <c r="M908" s="186">
        <v>425.21</v>
      </c>
      <c r="N908" s="186">
        <v>0</v>
      </c>
      <c r="O908" s="125">
        <f t="shared" si="78"/>
        <v>425.21</v>
      </c>
      <c r="P908" s="125"/>
      <c r="Q908" s="73">
        <f t="shared" si="77"/>
        <v>48.516461</v>
      </c>
    </row>
    <row r="909" spans="1:17" ht="14.5" x14ac:dyDescent="0.35">
      <c r="A909" s="184" t="s">
        <v>155</v>
      </c>
      <c r="B909" s="184" t="s">
        <v>436</v>
      </c>
      <c r="C909" s="184" t="s">
        <v>228</v>
      </c>
      <c r="D909" s="185" t="s">
        <v>288</v>
      </c>
      <c r="E909" s="185">
        <v>50816</v>
      </c>
      <c r="F909" s="185" t="s">
        <v>149</v>
      </c>
      <c r="G909" s="184">
        <v>102003</v>
      </c>
      <c r="H909" s="184" t="s">
        <v>110</v>
      </c>
      <c r="I909" s="184" t="s">
        <v>337</v>
      </c>
      <c r="J909" s="184" t="s">
        <v>295</v>
      </c>
      <c r="K909" s="184" t="s">
        <v>373</v>
      </c>
      <c r="L909" s="185">
        <v>1</v>
      </c>
      <c r="M909" s="186">
        <v>403.22</v>
      </c>
      <c r="N909" s="186">
        <v>0</v>
      </c>
      <c r="O909" s="125">
        <f t="shared" si="78"/>
        <v>403.22</v>
      </c>
      <c r="P909" s="125"/>
      <c r="Q909" s="73">
        <f t="shared" si="77"/>
        <v>46.007402000000006</v>
      </c>
    </row>
    <row r="910" spans="1:17" ht="14.5" x14ac:dyDescent="0.35">
      <c r="A910" s="184" t="s">
        <v>155</v>
      </c>
      <c r="B910" s="184" t="s">
        <v>436</v>
      </c>
      <c r="C910" s="184" t="s">
        <v>228</v>
      </c>
      <c r="D910" s="185" t="s">
        <v>288</v>
      </c>
      <c r="E910" s="185">
        <v>50817</v>
      </c>
      <c r="F910" s="185" t="s">
        <v>149</v>
      </c>
      <c r="G910" s="184">
        <v>102003</v>
      </c>
      <c r="H910" s="184" t="s">
        <v>110</v>
      </c>
      <c r="I910" s="184" t="s">
        <v>337</v>
      </c>
      <c r="J910" s="184" t="s">
        <v>295</v>
      </c>
      <c r="K910" s="184" t="s">
        <v>351</v>
      </c>
      <c r="L910" s="185">
        <v>1</v>
      </c>
      <c r="M910" s="186">
        <v>571.84</v>
      </c>
      <c r="N910" s="186">
        <v>0</v>
      </c>
      <c r="O910" s="125">
        <f t="shared" si="78"/>
        <v>571.84</v>
      </c>
      <c r="P910" s="125"/>
      <c r="Q910" s="73">
        <f t="shared" si="77"/>
        <v>65.246943999999999</v>
      </c>
    </row>
    <row r="911" spans="1:17" ht="14.5" x14ac:dyDescent="0.35">
      <c r="A911" s="184" t="s">
        <v>155</v>
      </c>
      <c r="B911" s="184" t="s">
        <v>436</v>
      </c>
      <c r="C911" s="184" t="s">
        <v>228</v>
      </c>
      <c r="D911" s="185" t="s">
        <v>288</v>
      </c>
      <c r="E911" s="185">
        <v>50818</v>
      </c>
      <c r="F911" s="185" t="s">
        <v>149</v>
      </c>
      <c r="G911" s="184">
        <v>102003</v>
      </c>
      <c r="H911" s="184" t="s">
        <v>110</v>
      </c>
      <c r="I911" s="184" t="s">
        <v>337</v>
      </c>
      <c r="J911" s="184" t="s">
        <v>295</v>
      </c>
      <c r="K911" s="184" t="s">
        <v>374</v>
      </c>
      <c r="L911" s="185">
        <v>1</v>
      </c>
      <c r="M911" s="186">
        <v>256.58999999999997</v>
      </c>
      <c r="N911" s="186">
        <v>0</v>
      </c>
      <c r="O911" s="125">
        <f t="shared" si="78"/>
        <v>256.58999999999997</v>
      </c>
      <c r="P911" s="125"/>
      <c r="Q911" s="73">
        <f t="shared" si="77"/>
        <v>29.276918999999999</v>
      </c>
    </row>
    <row r="912" spans="1:17" ht="14.5" x14ac:dyDescent="0.35">
      <c r="A912" s="184" t="s">
        <v>155</v>
      </c>
      <c r="B912" s="184" t="s">
        <v>436</v>
      </c>
      <c r="C912" s="184" t="s">
        <v>228</v>
      </c>
      <c r="D912" s="185" t="s">
        <v>288</v>
      </c>
      <c r="E912" s="185">
        <v>50819</v>
      </c>
      <c r="F912" s="185" t="s">
        <v>149</v>
      </c>
      <c r="G912" s="184">
        <v>102003</v>
      </c>
      <c r="H912" s="184" t="s">
        <v>110</v>
      </c>
      <c r="I912" s="184" t="s">
        <v>337</v>
      </c>
      <c r="J912" s="184" t="s">
        <v>295</v>
      </c>
      <c r="K912" s="184" t="s">
        <v>375</v>
      </c>
      <c r="L912" s="185">
        <v>1</v>
      </c>
      <c r="M912" s="186">
        <v>122.54</v>
      </c>
      <c r="N912" s="186">
        <v>0</v>
      </c>
      <c r="O912" s="125">
        <f t="shared" si="78"/>
        <v>122.54</v>
      </c>
      <c r="P912" s="125"/>
      <c r="Q912" s="73">
        <f t="shared" si="77"/>
        <v>13.981814000000002</v>
      </c>
    </row>
    <row r="913" spans="1:17" ht="14.5" x14ac:dyDescent="0.35">
      <c r="A913" s="184" t="s">
        <v>155</v>
      </c>
      <c r="B913" s="184" t="s">
        <v>436</v>
      </c>
      <c r="C913" s="184" t="s">
        <v>228</v>
      </c>
      <c r="D913" s="185" t="s">
        <v>288</v>
      </c>
      <c r="E913" s="185">
        <v>50820</v>
      </c>
      <c r="F913" s="185" t="s">
        <v>149</v>
      </c>
      <c r="G913" s="184">
        <v>103001</v>
      </c>
      <c r="H913" s="184" t="s">
        <v>113</v>
      </c>
      <c r="I913" s="184" t="s">
        <v>337</v>
      </c>
      <c r="J913" s="184" t="s">
        <v>295</v>
      </c>
      <c r="K913" s="184" t="s">
        <v>353</v>
      </c>
      <c r="L913" s="185">
        <v>1</v>
      </c>
      <c r="M913" s="186">
        <v>26.03</v>
      </c>
      <c r="N913" s="186">
        <v>0</v>
      </c>
      <c r="O913" s="125">
        <f t="shared" si="78"/>
        <v>26.03</v>
      </c>
      <c r="P913" s="125"/>
      <c r="Q913" s="73">
        <f t="shared" si="77"/>
        <v>2.9700230000000003</v>
      </c>
    </row>
    <row r="914" spans="1:17" ht="14.5" x14ac:dyDescent="0.35">
      <c r="A914" s="184" t="s">
        <v>155</v>
      </c>
      <c r="B914" s="184" t="s">
        <v>436</v>
      </c>
      <c r="C914" s="184" t="s">
        <v>228</v>
      </c>
      <c r="D914" s="185" t="s">
        <v>288</v>
      </c>
      <c r="E914" s="185">
        <v>50821</v>
      </c>
      <c r="F914" s="185" t="s">
        <v>149</v>
      </c>
      <c r="G914" s="184">
        <v>103001</v>
      </c>
      <c r="H914" s="184" t="s">
        <v>113</v>
      </c>
      <c r="I914" s="184" t="s">
        <v>337</v>
      </c>
      <c r="J914" s="184" t="s">
        <v>295</v>
      </c>
      <c r="K914" s="184" t="s">
        <v>354</v>
      </c>
      <c r="L914" s="185">
        <v>1</v>
      </c>
      <c r="M914" s="186">
        <v>33.14</v>
      </c>
      <c r="N914" s="186">
        <v>0</v>
      </c>
      <c r="O914" s="125">
        <f t="shared" si="78"/>
        <v>33.14</v>
      </c>
      <c r="P914" s="125"/>
      <c r="Q914" s="73">
        <f t="shared" si="77"/>
        <v>3.7812740000000002</v>
      </c>
    </row>
    <row r="915" spans="1:17" ht="14.5" x14ac:dyDescent="0.35">
      <c r="A915" s="184" t="s">
        <v>155</v>
      </c>
      <c r="B915" s="184" t="s">
        <v>436</v>
      </c>
      <c r="C915" s="184" t="s">
        <v>228</v>
      </c>
      <c r="D915" s="185" t="s">
        <v>288</v>
      </c>
      <c r="E915" s="185">
        <v>50822</v>
      </c>
      <c r="F915" s="185" t="s">
        <v>149</v>
      </c>
      <c r="G915" s="184">
        <v>103001</v>
      </c>
      <c r="H915" s="184" t="s">
        <v>113</v>
      </c>
      <c r="I915" s="184" t="s">
        <v>337</v>
      </c>
      <c r="J915" s="184" t="s">
        <v>295</v>
      </c>
      <c r="K915" s="184" t="s">
        <v>355</v>
      </c>
      <c r="L915" s="185">
        <v>1</v>
      </c>
      <c r="M915" s="186">
        <v>23.67</v>
      </c>
      <c r="N915" s="186">
        <v>0</v>
      </c>
      <c r="O915" s="125">
        <f t="shared" si="78"/>
        <v>23.67</v>
      </c>
      <c r="P915" s="125"/>
      <c r="Q915" s="73">
        <f t="shared" si="77"/>
        <v>2.7007470000000007</v>
      </c>
    </row>
    <row r="916" spans="1:17" ht="14.5" x14ac:dyDescent="0.35">
      <c r="A916" s="184" t="s">
        <v>155</v>
      </c>
      <c r="B916" s="184" t="s">
        <v>436</v>
      </c>
      <c r="C916" s="184" t="s">
        <v>228</v>
      </c>
      <c r="D916" s="185" t="s">
        <v>288</v>
      </c>
      <c r="E916" s="185">
        <v>50823</v>
      </c>
      <c r="F916" s="185" t="s">
        <v>149</v>
      </c>
      <c r="G916" s="184">
        <v>103001</v>
      </c>
      <c r="H916" s="184" t="s">
        <v>113</v>
      </c>
      <c r="I916" s="184" t="s">
        <v>337</v>
      </c>
      <c r="J916" s="184" t="s">
        <v>295</v>
      </c>
      <c r="K916" s="184" t="s">
        <v>356</v>
      </c>
      <c r="L916" s="185">
        <v>1</v>
      </c>
      <c r="M916" s="186">
        <v>18.93</v>
      </c>
      <c r="N916" s="186">
        <v>0</v>
      </c>
      <c r="O916" s="125">
        <f t="shared" si="78"/>
        <v>18.93</v>
      </c>
      <c r="P916" s="125"/>
      <c r="Q916" s="73">
        <f t="shared" si="77"/>
        <v>2.159913</v>
      </c>
    </row>
    <row r="917" spans="1:17" ht="14.5" x14ac:dyDescent="0.35">
      <c r="A917" s="184" t="s">
        <v>155</v>
      </c>
      <c r="B917" s="184" t="s">
        <v>436</v>
      </c>
      <c r="C917" s="184" t="s">
        <v>228</v>
      </c>
      <c r="D917" s="185" t="s">
        <v>288</v>
      </c>
      <c r="E917" s="185">
        <v>50824</v>
      </c>
      <c r="F917" s="185" t="s">
        <v>149</v>
      </c>
      <c r="G917" s="184">
        <v>103001</v>
      </c>
      <c r="H917" s="184" t="s">
        <v>113</v>
      </c>
      <c r="I917" s="184" t="s">
        <v>337</v>
      </c>
      <c r="J917" s="184" t="s">
        <v>295</v>
      </c>
      <c r="K917" s="184" t="s">
        <v>357</v>
      </c>
      <c r="L917" s="185">
        <v>1</v>
      </c>
      <c r="M917" s="186">
        <v>21.3</v>
      </c>
      <c r="N917" s="186">
        <v>0</v>
      </c>
      <c r="O917" s="125">
        <f t="shared" si="78"/>
        <v>21.3</v>
      </c>
      <c r="P917" s="125"/>
      <c r="Q917" s="73">
        <f t="shared" si="77"/>
        <v>2.4303300000000005</v>
      </c>
    </row>
    <row r="918" spans="1:17" ht="14.5" x14ac:dyDescent="0.35">
      <c r="A918" s="184" t="s">
        <v>155</v>
      </c>
      <c r="B918" s="184" t="s">
        <v>436</v>
      </c>
      <c r="C918" s="184" t="s">
        <v>228</v>
      </c>
      <c r="D918" s="185" t="s">
        <v>288</v>
      </c>
      <c r="E918" s="185">
        <v>50825</v>
      </c>
      <c r="F918" s="185" t="s">
        <v>149</v>
      </c>
      <c r="G918" s="184">
        <v>103001</v>
      </c>
      <c r="H918" s="184" t="s">
        <v>113</v>
      </c>
      <c r="I918" s="184" t="s">
        <v>337</v>
      </c>
      <c r="J918" s="184" t="s">
        <v>295</v>
      </c>
      <c r="K918" s="184" t="s">
        <v>358</v>
      </c>
      <c r="L918" s="185">
        <v>1</v>
      </c>
      <c r="M918" s="186">
        <v>33.14</v>
      </c>
      <c r="N918" s="186">
        <v>0</v>
      </c>
      <c r="O918" s="125">
        <f t="shared" si="78"/>
        <v>33.14</v>
      </c>
      <c r="P918" s="125"/>
      <c r="Q918" s="73">
        <f t="shared" si="77"/>
        <v>3.7812740000000002</v>
      </c>
    </row>
    <row r="919" spans="1:17" ht="14.5" x14ac:dyDescent="0.35">
      <c r="A919" s="184" t="s">
        <v>155</v>
      </c>
      <c r="B919" s="184" t="s">
        <v>436</v>
      </c>
      <c r="C919" s="184" t="s">
        <v>228</v>
      </c>
      <c r="D919" s="185" t="s">
        <v>288</v>
      </c>
      <c r="E919" s="185">
        <v>50826</v>
      </c>
      <c r="F919" s="185" t="s">
        <v>149</v>
      </c>
      <c r="G919" s="184">
        <v>103001</v>
      </c>
      <c r="H919" s="184" t="s">
        <v>113</v>
      </c>
      <c r="I919" s="184" t="s">
        <v>337</v>
      </c>
      <c r="J919" s="184" t="s">
        <v>295</v>
      </c>
      <c r="K919" s="184" t="s">
        <v>361</v>
      </c>
      <c r="L919" s="185">
        <v>1</v>
      </c>
      <c r="M919" s="186">
        <v>4.7300000000000004</v>
      </c>
      <c r="N919" s="186">
        <v>0</v>
      </c>
      <c r="O919" s="125">
        <f t="shared" si="78"/>
        <v>4.7300000000000004</v>
      </c>
      <c r="P919" s="125"/>
      <c r="Q919" s="73">
        <f t="shared" si="77"/>
        <v>0.53969300000000009</v>
      </c>
    </row>
    <row r="920" spans="1:17" ht="14.5" x14ac:dyDescent="0.35">
      <c r="A920" s="184" t="s">
        <v>155</v>
      </c>
      <c r="B920" s="184" t="s">
        <v>436</v>
      </c>
      <c r="C920" s="184" t="s">
        <v>228</v>
      </c>
      <c r="D920" s="185" t="s">
        <v>288</v>
      </c>
      <c r="E920" s="185">
        <v>50827</v>
      </c>
      <c r="F920" s="185" t="s">
        <v>149</v>
      </c>
      <c r="G920" s="184">
        <v>103001</v>
      </c>
      <c r="H920" s="184" t="s">
        <v>113</v>
      </c>
      <c r="I920" s="184" t="s">
        <v>337</v>
      </c>
      <c r="J920" s="184" t="s">
        <v>295</v>
      </c>
      <c r="K920" s="184" t="s">
        <v>359</v>
      </c>
      <c r="L920" s="185">
        <v>1</v>
      </c>
      <c r="M920" s="186">
        <v>28.4</v>
      </c>
      <c r="N920" s="186">
        <v>0</v>
      </c>
      <c r="O920" s="125">
        <f t="shared" si="78"/>
        <v>28.4</v>
      </c>
      <c r="P920" s="125"/>
      <c r="Q920" s="73">
        <f t="shared" si="77"/>
        <v>3.24044</v>
      </c>
    </row>
    <row r="921" spans="1:17" ht="14.5" x14ac:dyDescent="0.35">
      <c r="A921" s="184" t="s">
        <v>155</v>
      </c>
      <c r="B921" s="184" t="s">
        <v>436</v>
      </c>
      <c r="C921" s="184" t="s">
        <v>228</v>
      </c>
      <c r="D921" s="185" t="s">
        <v>288</v>
      </c>
      <c r="E921" s="185">
        <v>50828</v>
      </c>
      <c r="F921" s="185" t="s">
        <v>149</v>
      </c>
      <c r="G921" s="184">
        <v>103001</v>
      </c>
      <c r="H921" s="184" t="s">
        <v>113</v>
      </c>
      <c r="I921" s="184" t="s">
        <v>337</v>
      </c>
      <c r="J921" s="184" t="s">
        <v>295</v>
      </c>
      <c r="K921" s="184" t="s">
        <v>360</v>
      </c>
      <c r="L921" s="185">
        <v>1</v>
      </c>
      <c r="M921" s="186">
        <v>24.58</v>
      </c>
      <c r="N921" s="186">
        <v>0</v>
      </c>
      <c r="O921" s="125">
        <f t="shared" si="78"/>
        <v>24.58</v>
      </c>
      <c r="P921" s="125"/>
      <c r="Q921" s="73">
        <f t="shared" si="77"/>
        <v>2.8045780000000002</v>
      </c>
    </row>
    <row r="922" spans="1:17" ht="14.5" x14ac:dyDescent="0.35">
      <c r="A922" s="184" t="s">
        <v>155</v>
      </c>
      <c r="B922" s="184" t="s">
        <v>436</v>
      </c>
      <c r="C922" s="184" t="s">
        <v>228</v>
      </c>
      <c r="D922" s="185" t="s">
        <v>288</v>
      </c>
      <c r="E922" s="185">
        <v>50829</v>
      </c>
      <c r="F922" s="185" t="s">
        <v>149</v>
      </c>
      <c r="G922" s="184">
        <v>103001</v>
      </c>
      <c r="H922" s="184" t="s">
        <v>113</v>
      </c>
      <c r="I922" s="184" t="s">
        <v>337</v>
      </c>
      <c r="J922" s="184" t="s">
        <v>295</v>
      </c>
      <c r="K922" s="184" t="s">
        <v>362</v>
      </c>
      <c r="L922" s="185">
        <v>1</v>
      </c>
      <c r="M922" s="186">
        <v>21.3</v>
      </c>
      <c r="N922" s="186">
        <v>0</v>
      </c>
      <c r="O922" s="125">
        <f t="shared" si="78"/>
        <v>21.3</v>
      </c>
      <c r="P922" s="125"/>
      <c r="Q922" s="73">
        <f t="shared" si="77"/>
        <v>2.4303300000000005</v>
      </c>
    </row>
    <row r="923" spans="1:17" ht="14.5" x14ac:dyDescent="0.35">
      <c r="A923" s="184" t="s">
        <v>155</v>
      </c>
      <c r="B923" s="184" t="s">
        <v>436</v>
      </c>
      <c r="C923" s="184" t="s">
        <v>228</v>
      </c>
      <c r="D923" s="185" t="s">
        <v>288</v>
      </c>
      <c r="E923" s="185">
        <v>50830</v>
      </c>
      <c r="F923" s="185" t="s">
        <v>149</v>
      </c>
      <c r="G923" s="184">
        <v>103001</v>
      </c>
      <c r="H923" s="184" t="s">
        <v>113</v>
      </c>
      <c r="I923" s="184" t="s">
        <v>337</v>
      </c>
      <c r="J923" s="184" t="s">
        <v>295</v>
      </c>
      <c r="K923" s="184" t="s">
        <v>363</v>
      </c>
      <c r="L923" s="185">
        <v>1</v>
      </c>
      <c r="M923" s="186">
        <v>26.03</v>
      </c>
      <c r="N923" s="186">
        <v>0</v>
      </c>
      <c r="O923" s="125">
        <f t="shared" si="78"/>
        <v>26.03</v>
      </c>
      <c r="P923" s="125"/>
      <c r="Q923" s="73">
        <f t="shared" si="77"/>
        <v>2.9700230000000003</v>
      </c>
    </row>
    <row r="924" spans="1:17" ht="14.5" x14ac:dyDescent="0.35">
      <c r="A924" s="184" t="s">
        <v>155</v>
      </c>
      <c r="B924" s="184" t="s">
        <v>436</v>
      </c>
      <c r="C924" s="184" t="s">
        <v>228</v>
      </c>
      <c r="D924" s="185" t="s">
        <v>288</v>
      </c>
      <c r="E924" s="185">
        <v>50831</v>
      </c>
      <c r="F924" s="185" t="s">
        <v>149</v>
      </c>
      <c r="G924" s="184">
        <v>103001</v>
      </c>
      <c r="H924" s="184" t="s">
        <v>113</v>
      </c>
      <c r="I924" s="184" t="s">
        <v>337</v>
      </c>
      <c r="J924" s="184" t="s">
        <v>295</v>
      </c>
      <c r="K924" s="184" t="s">
        <v>364</v>
      </c>
      <c r="L924" s="185">
        <v>1</v>
      </c>
      <c r="M924" s="186">
        <v>47.34</v>
      </c>
      <c r="N924" s="186">
        <v>0</v>
      </c>
      <c r="O924" s="125">
        <f t="shared" si="78"/>
        <v>47.34</v>
      </c>
      <c r="P924" s="125"/>
      <c r="Q924" s="73">
        <f t="shared" si="77"/>
        <v>5.4014940000000013</v>
      </c>
    </row>
    <row r="925" spans="1:17" ht="14.5" x14ac:dyDescent="0.35">
      <c r="A925" s="184" t="s">
        <v>155</v>
      </c>
      <c r="B925" s="184" t="s">
        <v>436</v>
      </c>
      <c r="C925" s="184" t="s">
        <v>228</v>
      </c>
      <c r="D925" s="185" t="s">
        <v>288</v>
      </c>
      <c r="E925" s="185">
        <v>50832</v>
      </c>
      <c r="F925" s="185" t="s">
        <v>149</v>
      </c>
      <c r="G925" s="184">
        <v>103001</v>
      </c>
      <c r="H925" s="184" t="s">
        <v>113</v>
      </c>
      <c r="I925" s="184" t="s">
        <v>337</v>
      </c>
      <c r="J925" s="184" t="s">
        <v>295</v>
      </c>
      <c r="K925" s="184" t="s">
        <v>365</v>
      </c>
      <c r="L925" s="185">
        <v>1</v>
      </c>
      <c r="M925" s="186">
        <v>25.81</v>
      </c>
      <c r="N925" s="186">
        <v>0</v>
      </c>
      <c r="O925" s="125">
        <f t="shared" si="78"/>
        <v>25.81</v>
      </c>
      <c r="P925" s="125"/>
      <c r="Q925" s="73">
        <f t="shared" si="77"/>
        <v>2.9449209999999999</v>
      </c>
    </row>
    <row r="926" spans="1:17" ht="14.5" x14ac:dyDescent="0.35">
      <c r="A926" s="184" t="s">
        <v>155</v>
      </c>
      <c r="B926" s="184" t="s">
        <v>436</v>
      </c>
      <c r="C926" s="184" t="s">
        <v>228</v>
      </c>
      <c r="D926" s="185" t="s">
        <v>288</v>
      </c>
      <c r="E926" s="185">
        <v>50833</v>
      </c>
      <c r="F926" s="185" t="s">
        <v>149</v>
      </c>
      <c r="G926" s="184">
        <v>103001</v>
      </c>
      <c r="H926" s="184" t="s">
        <v>113</v>
      </c>
      <c r="I926" s="184" t="s">
        <v>337</v>
      </c>
      <c r="J926" s="184" t="s">
        <v>295</v>
      </c>
      <c r="K926" s="184" t="s">
        <v>366</v>
      </c>
      <c r="L926" s="185">
        <v>1</v>
      </c>
      <c r="M926" s="186">
        <v>42.6</v>
      </c>
      <c r="N926" s="186">
        <v>0</v>
      </c>
      <c r="O926" s="125">
        <f t="shared" si="78"/>
        <v>42.6</v>
      </c>
      <c r="P926" s="125"/>
      <c r="Q926" s="73">
        <f t="shared" si="77"/>
        <v>4.8606600000000011</v>
      </c>
    </row>
    <row r="927" spans="1:17" ht="14.5" x14ac:dyDescent="0.35">
      <c r="A927" s="184" t="s">
        <v>155</v>
      </c>
      <c r="B927" s="184" t="s">
        <v>436</v>
      </c>
      <c r="C927" s="184" t="s">
        <v>228</v>
      </c>
      <c r="D927" s="185" t="s">
        <v>288</v>
      </c>
      <c r="E927" s="185">
        <v>50834</v>
      </c>
      <c r="F927" s="185" t="s">
        <v>149</v>
      </c>
      <c r="G927" s="184">
        <v>103001</v>
      </c>
      <c r="H927" s="184" t="s">
        <v>113</v>
      </c>
      <c r="I927" s="184" t="s">
        <v>337</v>
      </c>
      <c r="J927" s="184" t="s">
        <v>295</v>
      </c>
      <c r="K927" s="184" t="s">
        <v>367</v>
      </c>
      <c r="L927" s="185">
        <v>1</v>
      </c>
      <c r="M927" s="186">
        <v>16.57</v>
      </c>
      <c r="N927" s="186">
        <v>0</v>
      </c>
      <c r="O927" s="125">
        <f t="shared" si="78"/>
        <v>16.57</v>
      </c>
      <c r="P927" s="125"/>
      <c r="Q927" s="73">
        <f t="shared" si="77"/>
        <v>1.8906370000000001</v>
      </c>
    </row>
    <row r="928" spans="1:17" ht="14.5" x14ac:dyDescent="0.35">
      <c r="A928" s="184" t="s">
        <v>155</v>
      </c>
      <c r="B928" s="184" t="s">
        <v>436</v>
      </c>
      <c r="C928" s="184" t="s">
        <v>228</v>
      </c>
      <c r="D928" s="185" t="s">
        <v>288</v>
      </c>
      <c r="E928" s="185">
        <v>50835</v>
      </c>
      <c r="F928" s="185" t="s">
        <v>149</v>
      </c>
      <c r="G928" s="184">
        <v>103001</v>
      </c>
      <c r="H928" s="184" t="s">
        <v>113</v>
      </c>
      <c r="I928" s="184" t="s">
        <v>337</v>
      </c>
      <c r="J928" s="184" t="s">
        <v>295</v>
      </c>
      <c r="K928" s="184" t="s">
        <v>368</v>
      </c>
      <c r="L928" s="185">
        <v>1</v>
      </c>
      <c r="M928" s="186">
        <v>16.57</v>
      </c>
      <c r="N928" s="186">
        <v>0</v>
      </c>
      <c r="O928" s="125">
        <f t="shared" si="78"/>
        <v>16.57</v>
      </c>
      <c r="P928" s="125"/>
      <c r="Q928" s="73">
        <f t="shared" si="77"/>
        <v>1.8906370000000001</v>
      </c>
    </row>
    <row r="929" spans="1:17" ht="14.5" x14ac:dyDescent="0.35">
      <c r="A929" s="184" t="s">
        <v>155</v>
      </c>
      <c r="B929" s="184" t="s">
        <v>436</v>
      </c>
      <c r="C929" s="184" t="s">
        <v>228</v>
      </c>
      <c r="D929" s="185" t="s">
        <v>288</v>
      </c>
      <c r="E929" s="185">
        <v>50836</v>
      </c>
      <c r="F929" s="185" t="s">
        <v>149</v>
      </c>
      <c r="G929" s="184">
        <v>103001</v>
      </c>
      <c r="H929" s="184" t="s">
        <v>113</v>
      </c>
      <c r="I929" s="184" t="s">
        <v>337</v>
      </c>
      <c r="J929" s="184" t="s">
        <v>295</v>
      </c>
      <c r="K929" s="184" t="s">
        <v>352</v>
      </c>
      <c r="L929" s="185">
        <v>1</v>
      </c>
      <c r="M929" s="186">
        <v>25.09</v>
      </c>
      <c r="N929" s="186">
        <v>0</v>
      </c>
      <c r="O929" s="125">
        <f t="shared" si="78"/>
        <v>25.09</v>
      </c>
      <c r="P929" s="125"/>
      <c r="Q929" s="73">
        <f t="shared" si="77"/>
        <v>2.8627690000000006</v>
      </c>
    </row>
    <row r="930" spans="1:17" ht="14.5" x14ac:dyDescent="0.35">
      <c r="A930" s="184" t="s">
        <v>155</v>
      </c>
      <c r="B930" s="184" t="s">
        <v>436</v>
      </c>
      <c r="C930" s="184" t="s">
        <v>228</v>
      </c>
      <c r="D930" s="185" t="s">
        <v>288</v>
      </c>
      <c r="E930" s="185">
        <v>50837</v>
      </c>
      <c r="F930" s="185" t="s">
        <v>149</v>
      </c>
      <c r="G930" s="184">
        <v>103001</v>
      </c>
      <c r="H930" s="184" t="s">
        <v>113</v>
      </c>
      <c r="I930" s="184" t="s">
        <v>337</v>
      </c>
      <c r="J930" s="184" t="s">
        <v>295</v>
      </c>
      <c r="K930" s="184" t="s">
        <v>369</v>
      </c>
      <c r="L930" s="185">
        <v>1</v>
      </c>
      <c r="M930" s="186">
        <v>20.350000000000001</v>
      </c>
      <c r="N930" s="186">
        <v>0</v>
      </c>
      <c r="O930" s="125">
        <f t="shared" si="78"/>
        <v>20.350000000000001</v>
      </c>
      <c r="P930" s="125"/>
      <c r="Q930" s="73">
        <f t="shared" si="77"/>
        <v>2.3219350000000003</v>
      </c>
    </row>
    <row r="931" spans="1:17" ht="14.5" x14ac:dyDescent="0.35">
      <c r="A931" s="184" t="s">
        <v>155</v>
      </c>
      <c r="B931" s="184" t="s">
        <v>436</v>
      </c>
      <c r="C931" s="184" t="s">
        <v>228</v>
      </c>
      <c r="D931" s="185" t="s">
        <v>288</v>
      </c>
      <c r="E931" s="185">
        <v>50838</v>
      </c>
      <c r="F931" s="185" t="s">
        <v>149</v>
      </c>
      <c r="G931" s="184">
        <v>103001</v>
      </c>
      <c r="H931" s="184" t="s">
        <v>113</v>
      </c>
      <c r="I931" s="184" t="s">
        <v>337</v>
      </c>
      <c r="J931" s="184" t="s">
        <v>295</v>
      </c>
      <c r="K931" s="184" t="s">
        <v>370</v>
      </c>
      <c r="L931" s="185">
        <v>1</v>
      </c>
      <c r="M931" s="186">
        <v>21.3</v>
      </c>
      <c r="N931" s="186">
        <v>0</v>
      </c>
      <c r="O931" s="125">
        <f t="shared" si="78"/>
        <v>21.3</v>
      </c>
      <c r="P931" s="125"/>
      <c r="Q931" s="73">
        <f t="shared" si="77"/>
        <v>2.4303300000000005</v>
      </c>
    </row>
    <row r="932" spans="1:17" ht="14.5" x14ac:dyDescent="0.35">
      <c r="A932" s="184" t="s">
        <v>155</v>
      </c>
      <c r="B932" s="184" t="s">
        <v>436</v>
      </c>
      <c r="C932" s="184" t="s">
        <v>228</v>
      </c>
      <c r="D932" s="185" t="s">
        <v>288</v>
      </c>
      <c r="E932" s="185">
        <v>50839</v>
      </c>
      <c r="F932" s="185" t="s">
        <v>149</v>
      </c>
      <c r="G932" s="184">
        <v>103001</v>
      </c>
      <c r="H932" s="184" t="s">
        <v>113</v>
      </c>
      <c r="I932" s="184" t="s">
        <v>337</v>
      </c>
      <c r="J932" s="184" t="s">
        <v>295</v>
      </c>
      <c r="K932" s="184" t="s">
        <v>371</v>
      </c>
      <c r="L932" s="185">
        <v>1</v>
      </c>
      <c r="M932" s="186">
        <v>54.91</v>
      </c>
      <c r="N932" s="186">
        <v>0</v>
      </c>
      <c r="O932" s="125">
        <f t="shared" si="78"/>
        <v>54.91</v>
      </c>
      <c r="P932" s="125"/>
      <c r="Q932" s="73">
        <f t="shared" si="77"/>
        <v>6.265231</v>
      </c>
    </row>
    <row r="933" spans="1:17" ht="14.5" x14ac:dyDescent="0.35">
      <c r="A933" s="184" t="s">
        <v>155</v>
      </c>
      <c r="B933" s="184" t="s">
        <v>436</v>
      </c>
      <c r="C933" s="184" t="s">
        <v>228</v>
      </c>
      <c r="D933" s="185" t="s">
        <v>288</v>
      </c>
      <c r="E933" s="185">
        <v>50840</v>
      </c>
      <c r="F933" s="185" t="s">
        <v>149</v>
      </c>
      <c r="G933" s="184">
        <v>103001</v>
      </c>
      <c r="H933" s="184" t="s">
        <v>113</v>
      </c>
      <c r="I933" s="184" t="s">
        <v>337</v>
      </c>
      <c r="J933" s="184" t="s">
        <v>295</v>
      </c>
      <c r="K933" s="184" t="s">
        <v>372</v>
      </c>
      <c r="L933" s="185">
        <v>1</v>
      </c>
      <c r="M933" s="186">
        <v>27.45</v>
      </c>
      <c r="N933" s="186">
        <v>0</v>
      </c>
      <c r="O933" s="125">
        <f t="shared" si="78"/>
        <v>27.45</v>
      </c>
      <c r="P933" s="125"/>
      <c r="Q933" s="73">
        <f t="shared" si="77"/>
        <v>3.1320450000000002</v>
      </c>
    </row>
    <row r="934" spans="1:17" ht="14.5" x14ac:dyDescent="0.35">
      <c r="A934" s="184" t="s">
        <v>155</v>
      </c>
      <c r="B934" s="184" t="s">
        <v>436</v>
      </c>
      <c r="C934" s="184" t="s">
        <v>228</v>
      </c>
      <c r="D934" s="185" t="s">
        <v>288</v>
      </c>
      <c r="E934" s="185">
        <v>50841</v>
      </c>
      <c r="F934" s="185" t="s">
        <v>149</v>
      </c>
      <c r="G934" s="184">
        <v>103001</v>
      </c>
      <c r="H934" s="184" t="s">
        <v>113</v>
      </c>
      <c r="I934" s="184" t="s">
        <v>337</v>
      </c>
      <c r="J934" s="184" t="s">
        <v>295</v>
      </c>
      <c r="K934" s="184" t="s">
        <v>373</v>
      </c>
      <c r="L934" s="185">
        <v>1</v>
      </c>
      <c r="M934" s="186">
        <v>26.03</v>
      </c>
      <c r="N934" s="186">
        <v>0</v>
      </c>
      <c r="O934" s="125">
        <f t="shared" si="78"/>
        <v>26.03</v>
      </c>
      <c r="P934" s="125"/>
      <c r="Q934" s="73">
        <f t="shared" si="77"/>
        <v>2.9700230000000003</v>
      </c>
    </row>
    <row r="935" spans="1:17" ht="14.5" x14ac:dyDescent="0.35">
      <c r="A935" s="184" t="s">
        <v>155</v>
      </c>
      <c r="B935" s="184" t="s">
        <v>436</v>
      </c>
      <c r="C935" s="184" t="s">
        <v>228</v>
      </c>
      <c r="D935" s="185" t="s">
        <v>288</v>
      </c>
      <c r="E935" s="185">
        <v>50842</v>
      </c>
      <c r="F935" s="185" t="s">
        <v>149</v>
      </c>
      <c r="G935" s="184">
        <v>103001</v>
      </c>
      <c r="H935" s="184" t="s">
        <v>113</v>
      </c>
      <c r="I935" s="184" t="s">
        <v>337</v>
      </c>
      <c r="J935" s="184" t="s">
        <v>295</v>
      </c>
      <c r="K935" s="184" t="s">
        <v>351</v>
      </c>
      <c r="L935" s="185">
        <v>1</v>
      </c>
      <c r="M935" s="186">
        <v>36.92</v>
      </c>
      <c r="N935" s="186">
        <v>0</v>
      </c>
      <c r="O935" s="125">
        <f t="shared" si="78"/>
        <v>36.92</v>
      </c>
      <c r="P935" s="125"/>
      <c r="Q935" s="73">
        <f t="shared" si="77"/>
        <v>4.2125720000000006</v>
      </c>
    </row>
    <row r="936" spans="1:17" ht="14.5" x14ac:dyDescent="0.35">
      <c r="A936" s="184" t="s">
        <v>155</v>
      </c>
      <c r="B936" s="184" t="s">
        <v>436</v>
      </c>
      <c r="C936" s="184" t="s">
        <v>228</v>
      </c>
      <c r="D936" s="185" t="s">
        <v>288</v>
      </c>
      <c r="E936" s="185">
        <v>50843</v>
      </c>
      <c r="F936" s="185" t="s">
        <v>149</v>
      </c>
      <c r="G936" s="184">
        <v>103001</v>
      </c>
      <c r="H936" s="184" t="s">
        <v>113</v>
      </c>
      <c r="I936" s="184" t="s">
        <v>337</v>
      </c>
      <c r="J936" s="184" t="s">
        <v>295</v>
      </c>
      <c r="K936" s="184" t="s">
        <v>374</v>
      </c>
      <c r="L936" s="185">
        <v>1</v>
      </c>
      <c r="M936" s="186">
        <v>16.57</v>
      </c>
      <c r="N936" s="186">
        <v>0</v>
      </c>
      <c r="O936" s="125">
        <f t="shared" si="78"/>
        <v>16.57</v>
      </c>
      <c r="P936" s="125"/>
      <c r="Q936" s="73">
        <f t="shared" si="77"/>
        <v>1.8906370000000001</v>
      </c>
    </row>
    <row r="937" spans="1:17" ht="14.5" x14ac:dyDescent="0.35">
      <c r="A937" s="184" t="s">
        <v>155</v>
      </c>
      <c r="B937" s="184" t="s">
        <v>436</v>
      </c>
      <c r="C937" s="184" t="s">
        <v>228</v>
      </c>
      <c r="D937" s="185" t="s">
        <v>288</v>
      </c>
      <c r="E937" s="185">
        <v>50844</v>
      </c>
      <c r="F937" s="185" t="s">
        <v>149</v>
      </c>
      <c r="G937" s="184">
        <v>104000</v>
      </c>
      <c r="H937" s="184" t="s">
        <v>114</v>
      </c>
      <c r="I937" s="184" t="s">
        <v>337</v>
      </c>
      <c r="J937" s="184" t="s">
        <v>295</v>
      </c>
      <c r="K937" s="184" t="s">
        <v>423</v>
      </c>
      <c r="L937" s="185">
        <v>1</v>
      </c>
      <c r="M937" s="186">
        <v>330.29</v>
      </c>
      <c r="N937" s="186">
        <v>0</v>
      </c>
      <c r="O937" s="125">
        <f t="shared" si="78"/>
        <v>330.29</v>
      </c>
      <c r="P937" s="125"/>
      <c r="Q937" s="73">
        <f t="shared" si="77"/>
        <v>37.686089000000003</v>
      </c>
    </row>
    <row r="938" spans="1:17" ht="14.5" x14ac:dyDescent="0.35">
      <c r="A938" s="184" t="s">
        <v>155</v>
      </c>
      <c r="B938" s="184" t="s">
        <v>436</v>
      </c>
      <c r="C938" s="184" t="s">
        <v>228</v>
      </c>
      <c r="D938" s="185" t="s">
        <v>288</v>
      </c>
      <c r="E938" s="185">
        <v>50846</v>
      </c>
      <c r="F938" s="185" t="s">
        <v>149</v>
      </c>
      <c r="G938" s="184">
        <v>104000</v>
      </c>
      <c r="H938" s="184" t="s">
        <v>114</v>
      </c>
      <c r="I938" s="184" t="s">
        <v>337</v>
      </c>
      <c r="J938" s="184" t="s">
        <v>295</v>
      </c>
      <c r="K938" s="184" t="s">
        <v>353</v>
      </c>
      <c r="L938" s="185">
        <v>1</v>
      </c>
      <c r="M938" s="186">
        <v>853.12</v>
      </c>
      <c r="N938" s="186">
        <v>0</v>
      </c>
      <c r="O938" s="125">
        <f t="shared" si="78"/>
        <v>853.12</v>
      </c>
      <c r="P938" s="125"/>
      <c r="Q938" s="73">
        <f t="shared" si="77"/>
        <v>97.340992000000014</v>
      </c>
    </row>
    <row r="939" spans="1:17" ht="14.5" x14ac:dyDescent="0.35">
      <c r="A939" s="184" t="s">
        <v>155</v>
      </c>
      <c r="B939" s="184" t="s">
        <v>436</v>
      </c>
      <c r="C939" s="184" t="s">
        <v>228</v>
      </c>
      <c r="D939" s="185" t="s">
        <v>288</v>
      </c>
      <c r="E939" s="185">
        <v>50847</v>
      </c>
      <c r="F939" s="185" t="s">
        <v>149</v>
      </c>
      <c r="G939" s="184">
        <v>104000</v>
      </c>
      <c r="H939" s="184" t="s">
        <v>114</v>
      </c>
      <c r="I939" s="184" t="s">
        <v>337</v>
      </c>
      <c r="J939" s="184" t="s">
        <v>295</v>
      </c>
      <c r="K939" s="184" t="s">
        <v>354</v>
      </c>
      <c r="L939" s="185">
        <v>1</v>
      </c>
      <c r="M939" s="186">
        <v>1085.79</v>
      </c>
      <c r="N939" s="186">
        <v>0</v>
      </c>
      <c r="O939" s="125">
        <f t="shared" si="78"/>
        <v>1085.79</v>
      </c>
      <c r="P939" s="125"/>
      <c r="Q939" s="73">
        <f t="shared" si="77"/>
        <v>123.88863900000001</v>
      </c>
    </row>
    <row r="940" spans="1:17" ht="14.5" x14ac:dyDescent="0.35">
      <c r="A940" s="184" t="s">
        <v>155</v>
      </c>
      <c r="B940" s="184" t="s">
        <v>436</v>
      </c>
      <c r="C940" s="184" t="s">
        <v>228</v>
      </c>
      <c r="D940" s="185" t="s">
        <v>288</v>
      </c>
      <c r="E940" s="185">
        <v>50848</v>
      </c>
      <c r="F940" s="185" t="s">
        <v>149</v>
      </c>
      <c r="G940" s="184">
        <v>104000</v>
      </c>
      <c r="H940" s="184" t="s">
        <v>114</v>
      </c>
      <c r="I940" s="184" t="s">
        <v>337</v>
      </c>
      <c r="J940" s="184" t="s">
        <v>295</v>
      </c>
      <c r="K940" s="184" t="s">
        <v>355</v>
      </c>
      <c r="L940" s="185">
        <v>1</v>
      </c>
      <c r="M940" s="186">
        <v>775.57</v>
      </c>
      <c r="N940" s="186">
        <v>0</v>
      </c>
      <c r="O940" s="125">
        <f t="shared" si="78"/>
        <v>775.57</v>
      </c>
      <c r="P940" s="125"/>
      <c r="Q940" s="73">
        <f t="shared" si="77"/>
        <v>88.492537000000013</v>
      </c>
    </row>
    <row r="941" spans="1:17" ht="14.5" x14ac:dyDescent="0.35">
      <c r="A941" s="184" t="s">
        <v>155</v>
      </c>
      <c r="B941" s="184" t="s">
        <v>436</v>
      </c>
      <c r="C941" s="184" t="s">
        <v>228</v>
      </c>
      <c r="D941" s="185" t="s">
        <v>288</v>
      </c>
      <c r="E941" s="185">
        <v>50849</v>
      </c>
      <c r="F941" s="185" t="s">
        <v>149</v>
      </c>
      <c r="G941" s="184">
        <v>104000</v>
      </c>
      <c r="H941" s="184" t="s">
        <v>114</v>
      </c>
      <c r="I941" s="184" t="s">
        <v>337</v>
      </c>
      <c r="J941" s="184" t="s">
        <v>295</v>
      </c>
      <c r="K941" s="184" t="s">
        <v>356</v>
      </c>
      <c r="L941" s="185">
        <v>1</v>
      </c>
      <c r="M941" s="186">
        <v>620.45000000000005</v>
      </c>
      <c r="N941" s="186">
        <v>0</v>
      </c>
      <c r="O941" s="125">
        <f t="shared" si="78"/>
        <v>620.45000000000005</v>
      </c>
      <c r="P941" s="125"/>
      <c r="Q941" s="73">
        <f t="shared" si="77"/>
        <v>70.793345000000016</v>
      </c>
    </row>
    <row r="942" spans="1:17" ht="14.5" x14ac:dyDescent="0.35">
      <c r="A942" s="184" t="s">
        <v>155</v>
      </c>
      <c r="B942" s="184" t="s">
        <v>436</v>
      </c>
      <c r="C942" s="184" t="s">
        <v>228</v>
      </c>
      <c r="D942" s="185" t="s">
        <v>288</v>
      </c>
      <c r="E942" s="185">
        <v>50850</v>
      </c>
      <c r="F942" s="185" t="s">
        <v>149</v>
      </c>
      <c r="G942" s="184">
        <v>104000</v>
      </c>
      <c r="H942" s="184" t="s">
        <v>114</v>
      </c>
      <c r="I942" s="184" t="s">
        <v>337</v>
      </c>
      <c r="J942" s="184" t="s">
        <v>295</v>
      </c>
      <c r="K942" s="184" t="s">
        <v>357</v>
      </c>
      <c r="L942" s="185">
        <v>1</v>
      </c>
      <c r="M942" s="186">
        <v>698.01</v>
      </c>
      <c r="N942" s="186">
        <v>0</v>
      </c>
      <c r="O942" s="125">
        <f t="shared" si="78"/>
        <v>698.01</v>
      </c>
      <c r="P942" s="125"/>
      <c r="Q942" s="73">
        <f t="shared" si="77"/>
        <v>79.642941000000008</v>
      </c>
    </row>
    <row r="943" spans="1:17" ht="14.5" x14ac:dyDescent="0.35">
      <c r="A943" s="184" t="s">
        <v>155</v>
      </c>
      <c r="B943" s="184" t="s">
        <v>436</v>
      </c>
      <c r="C943" s="184" t="s">
        <v>228</v>
      </c>
      <c r="D943" s="185" t="s">
        <v>288</v>
      </c>
      <c r="E943" s="185">
        <v>50851</v>
      </c>
      <c r="F943" s="185" t="s">
        <v>149</v>
      </c>
      <c r="G943" s="184">
        <v>104000</v>
      </c>
      <c r="H943" s="184" t="s">
        <v>114</v>
      </c>
      <c r="I943" s="184" t="s">
        <v>337</v>
      </c>
      <c r="J943" s="184" t="s">
        <v>295</v>
      </c>
      <c r="K943" s="184" t="s">
        <v>358</v>
      </c>
      <c r="L943" s="185">
        <v>1</v>
      </c>
      <c r="M943" s="186">
        <v>1085.79</v>
      </c>
      <c r="N943" s="186">
        <v>0</v>
      </c>
      <c r="O943" s="125">
        <f t="shared" si="78"/>
        <v>1085.79</v>
      </c>
      <c r="P943" s="125"/>
      <c r="Q943" s="73">
        <f t="shared" si="77"/>
        <v>123.88863900000001</v>
      </c>
    </row>
    <row r="944" spans="1:17" ht="14.5" x14ac:dyDescent="0.35">
      <c r="A944" s="184" t="s">
        <v>155</v>
      </c>
      <c r="B944" s="184" t="s">
        <v>436</v>
      </c>
      <c r="C944" s="184" t="s">
        <v>228</v>
      </c>
      <c r="D944" s="185" t="s">
        <v>288</v>
      </c>
      <c r="E944" s="185">
        <v>50852</v>
      </c>
      <c r="F944" s="185" t="s">
        <v>149</v>
      </c>
      <c r="G944" s="184">
        <v>104000</v>
      </c>
      <c r="H944" s="184" t="s">
        <v>114</v>
      </c>
      <c r="I944" s="184" t="s">
        <v>337</v>
      </c>
      <c r="J944" s="184" t="s">
        <v>295</v>
      </c>
      <c r="K944" s="184" t="s">
        <v>361</v>
      </c>
      <c r="L944" s="185">
        <v>1</v>
      </c>
      <c r="M944" s="186">
        <v>155.11000000000001</v>
      </c>
      <c r="N944" s="186">
        <v>0</v>
      </c>
      <c r="O944" s="125">
        <f t="shared" si="78"/>
        <v>155.11000000000001</v>
      </c>
      <c r="P944" s="125"/>
      <c r="Q944" s="73">
        <f t="shared" si="77"/>
        <v>17.698051000000003</v>
      </c>
    </row>
    <row r="945" spans="1:17" ht="14.5" x14ac:dyDescent="0.35">
      <c r="A945" s="184" t="s">
        <v>155</v>
      </c>
      <c r="B945" s="184" t="s">
        <v>436</v>
      </c>
      <c r="C945" s="184" t="s">
        <v>228</v>
      </c>
      <c r="D945" s="185" t="s">
        <v>288</v>
      </c>
      <c r="E945" s="185">
        <v>50853</v>
      </c>
      <c r="F945" s="185" t="s">
        <v>149</v>
      </c>
      <c r="G945" s="184">
        <v>104000</v>
      </c>
      <c r="H945" s="184" t="s">
        <v>114</v>
      </c>
      <c r="I945" s="184" t="s">
        <v>337</v>
      </c>
      <c r="J945" s="184" t="s">
        <v>295</v>
      </c>
      <c r="K945" s="184" t="s">
        <v>359</v>
      </c>
      <c r="L945" s="185">
        <v>1</v>
      </c>
      <c r="M945" s="186">
        <v>930.68</v>
      </c>
      <c r="N945" s="186">
        <v>0</v>
      </c>
      <c r="O945" s="125">
        <f t="shared" si="78"/>
        <v>930.68</v>
      </c>
      <c r="P945" s="125"/>
      <c r="Q945" s="73">
        <f t="shared" si="77"/>
        <v>106.19058800000001</v>
      </c>
    </row>
    <row r="946" spans="1:17" ht="14.5" x14ac:dyDescent="0.35">
      <c r="A946" s="184" t="s">
        <v>155</v>
      </c>
      <c r="B946" s="184" t="s">
        <v>436</v>
      </c>
      <c r="C946" s="184" t="s">
        <v>228</v>
      </c>
      <c r="D946" s="185" t="s">
        <v>288</v>
      </c>
      <c r="E946" s="185">
        <v>50854</v>
      </c>
      <c r="F946" s="185" t="s">
        <v>149</v>
      </c>
      <c r="G946" s="184">
        <v>104000</v>
      </c>
      <c r="H946" s="184" t="s">
        <v>114</v>
      </c>
      <c r="I946" s="184" t="s">
        <v>337</v>
      </c>
      <c r="J946" s="184" t="s">
        <v>295</v>
      </c>
      <c r="K946" s="184" t="s">
        <v>360</v>
      </c>
      <c r="L946" s="185">
        <v>1</v>
      </c>
      <c r="M946" s="186">
        <v>736.85</v>
      </c>
      <c r="N946" s="186">
        <v>0</v>
      </c>
      <c r="O946" s="125">
        <f t="shared" si="78"/>
        <v>736.85</v>
      </c>
      <c r="P946" s="125"/>
      <c r="Q946" s="73">
        <f t="shared" si="77"/>
        <v>84.074584999999999</v>
      </c>
    </row>
    <row r="947" spans="1:17" ht="14.5" x14ac:dyDescent="0.35">
      <c r="A947" s="184" t="s">
        <v>155</v>
      </c>
      <c r="B947" s="184" t="s">
        <v>436</v>
      </c>
      <c r="C947" s="184" t="s">
        <v>228</v>
      </c>
      <c r="D947" s="185" t="s">
        <v>288</v>
      </c>
      <c r="E947" s="185">
        <v>50855</v>
      </c>
      <c r="F947" s="185" t="s">
        <v>149</v>
      </c>
      <c r="G947" s="184">
        <v>104000</v>
      </c>
      <c r="H947" s="184" t="s">
        <v>114</v>
      </c>
      <c r="I947" s="184" t="s">
        <v>337</v>
      </c>
      <c r="J947" s="184" t="s">
        <v>295</v>
      </c>
      <c r="K947" s="184" t="s">
        <v>362</v>
      </c>
      <c r="L947" s="185">
        <v>1</v>
      </c>
      <c r="M947" s="186">
        <v>698.01</v>
      </c>
      <c r="N947" s="186">
        <v>0</v>
      </c>
      <c r="O947" s="125">
        <f t="shared" si="78"/>
        <v>698.01</v>
      </c>
      <c r="P947" s="125"/>
      <c r="Q947" s="73">
        <f t="shared" si="77"/>
        <v>79.642941000000008</v>
      </c>
    </row>
    <row r="948" spans="1:17" ht="14.5" x14ac:dyDescent="0.35">
      <c r="A948" s="184" t="s">
        <v>155</v>
      </c>
      <c r="B948" s="184" t="s">
        <v>436</v>
      </c>
      <c r="C948" s="184" t="s">
        <v>228</v>
      </c>
      <c r="D948" s="185" t="s">
        <v>288</v>
      </c>
      <c r="E948" s="185">
        <v>50856</v>
      </c>
      <c r="F948" s="185" t="s">
        <v>149</v>
      </c>
      <c r="G948" s="184">
        <v>104000</v>
      </c>
      <c r="H948" s="184" t="s">
        <v>114</v>
      </c>
      <c r="I948" s="184" t="s">
        <v>337</v>
      </c>
      <c r="J948" s="184" t="s">
        <v>295</v>
      </c>
      <c r="K948" s="184" t="s">
        <v>363</v>
      </c>
      <c r="L948" s="185">
        <v>1</v>
      </c>
      <c r="M948" s="186">
        <v>853.12</v>
      </c>
      <c r="N948" s="186">
        <v>0</v>
      </c>
      <c r="O948" s="125">
        <f t="shared" si="78"/>
        <v>853.12</v>
      </c>
      <c r="P948" s="125"/>
      <c r="Q948" s="73">
        <f t="shared" si="77"/>
        <v>97.340992000000014</v>
      </c>
    </row>
    <row r="949" spans="1:17" ht="14.5" x14ac:dyDescent="0.35">
      <c r="A949" s="184" t="s">
        <v>155</v>
      </c>
      <c r="B949" s="184" t="s">
        <v>436</v>
      </c>
      <c r="C949" s="184" t="s">
        <v>228</v>
      </c>
      <c r="D949" s="185" t="s">
        <v>288</v>
      </c>
      <c r="E949" s="185">
        <v>50857</v>
      </c>
      <c r="F949" s="185" t="s">
        <v>149</v>
      </c>
      <c r="G949" s="184">
        <v>104000</v>
      </c>
      <c r="H949" s="184" t="s">
        <v>114</v>
      </c>
      <c r="I949" s="184" t="s">
        <v>337</v>
      </c>
      <c r="J949" s="184" t="s">
        <v>295</v>
      </c>
      <c r="K949" s="184" t="s">
        <v>364</v>
      </c>
      <c r="L949" s="185">
        <v>1</v>
      </c>
      <c r="M949" s="186">
        <v>1551.13</v>
      </c>
      <c r="N949" s="186">
        <v>0</v>
      </c>
      <c r="O949" s="125">
        <f t="shared" si="78"/>
        <v>1551.13</v>
      </c>
      <c r="P949" s="125"/>
      <c r="Q949" s="73">
        <f t="shared" si="77"/>
        <v>176.98393300000004</v>
      </c>
    </row>
    <row r="950" spans="1:17" ht="14.5" x14ac:dyDescent="0.35">
      <c r="A950" s="184" t="s">
        <v>155</v>
      </c>
      <c r="B950" s="184" t="s">
        <v>436</v>
      </c>
      <c r="C950" s="184" t="s">
        <v>228</v>
      </c>
      <c r="D950" s="185" t="s">
        <v>288</v>
      </c>
      <c r="E950" s="185">
        <v>50858</v>
      </c>
      <c r="F950" s="185" t="s">
        <v>149</v>
      </c>
      <c r="G950" s="184">
        <v>104000</v>
      </c>
      <c r="H950" s="184" t="s">
        <v>114</v>
      </c>
      <c r="I950" s="184" t="s">
        <v>337</v>
      </c>
      <c r="J950" s="184" t="s">
        <v>295</v>
      </c>
      <c r="K950" s="184" t="s">
        <v>365</v>
      </c>
      <c r="L950" s="185">
        <v>1</v>
      </c>
      <c r="M950" s="186">
        <v>845.67</v>
      </c>
      <c r="N950" s="186">
        <v>0</v>
      </c>
      <c r="O950" s="125">
        <f t="shared" si="78"/>
        <v>845.67</v>
      </c>
      <c r="P950" s="125"/>
      <c r="Q950" s="73">
        <f t="shared" si="77"/>
        <v>96.490947000000006</v>
      </c>
    </row>
    <row r="951" spans="1:17" ht="14.5" x14ac:dyDescent="0.35">
      <c r="A951" s="184" t="s">
        <v>155</v>
      </c>
      <c r="B951" s="184" t="s">
        <v>436</v>
      </c>
      <c r="C951" s="184" t="s">
        <v>228</v>
      </c>
      <c r="D951" s="185" t="s">
        <v>288</v>
      </c>
      <c r="E951" s="185">
        <v>50859</v>
      </c>
      <c r="F951" s="185" t="s">
        <v>149</v>
      </c>
      <c r="G951" s="184">
        <v>104000</v>
      </c>
      <c r="H951" s="184" t="s">
        <v>114</v>
      </c>
      <c r="I951" s="184" t="s">
        <v>337</v>
      </c>
      <c r="J951" s="184" t="s">
        <v>295</v>
      </c>
      <c r="K951" s="184" t="s">
        <v>366</v>
      </c>
      <c r="L951" s="185">
        <v>1</v>
      </c>
      <c r="M951" s="186">
        <v>1396.01</v>
      </c>
      <c r="N951" s="186">
        <v>0</v>
      </c>
      <c r="O951" s="125">
        <f t="shared" si="78"/>
        <v>1396.01</v>
      </c>
      <c r="P951" s="125"/>
      <c r="Q951" s="73">
        <f t="shared" si="77"/>
        <v>159.284741</v>
      </c>
    </row>
    <row r="952" spans="1:17" ht="14.5" x14ac:dyDescent="0.35">
      <c r="A952" s="184" t="s">
        <v>155</v>
      </c>
      <c r="B952" s="184" t="s">
        <v>436</v>
      </c>
      <c r="C952" s="184" t="s">
        <v>228</v>
      </c>
      <c r="D952" s="185" t="s">
        <v>288</v>
      </c>
      <c r="E952" s="185">
        <v>50860</v>
      </c>
      <c r="F952" s="185" t="s">
        <v>149</v>
      </c>
      <c r="G952" s="184">
        <v>104000</v>
      </c>
      <c r="H952" s="184" t="s">
        <v>114</v>
      </c>
      <c r="I952" s="184" t="s">
        <v>337</v>
      </c>
      <c r="J952" s="184" t="s">
        <v>295</v>
      </c>
      <c r="K952" s="184" t="s">
        <v>367</v>
      </c>
      <c r="L952" s="185">
        <v>1</v>
      </c>
      <c r="M952" s="186">
        <v>542.9</v>
      </c>
      <c r="N952" s="186">
        <v>0</v>
      </c>
      <c r="O952" s="125">
        <f t="shared" si="78"/>
        <v>542.9</v>
      </c>
      <c r="P952" s="125"/>
      <c r="Q952" s="73">
        <f t="shared" si="77"/>
        <v>61.944890000000001</v>
      </c>
    </row>
    <row r="953" spans="1:17" ht="14.5" x14ac:dyDescent="0.35">
      <c r="A953" s="184" t="s">
        <v>155</v>
      </c>
      <c r="B953" s="184" t="s">
        <v>436</v>
      </c>
      <c r="C953" s="184" t="s">
        <v>228</v>
      </c>
      <c r="D953" s="185" t="s">
        <v>288</v>
      </c>
      <c r="E953" s="185">
        <v>50861</v>
      </c>
      <c r="F953" s="185" t="s">
        <v>149</v>
      </c>
      <c r="G953" s="184">
        <v>104000</v>
      </c>
      <c r="H953" s="184" t="s">
        <v>114</v>
      </c>
      <c r="I953" s="184" t="s">
        <v>337</v>
      </c>
      <c r="J953" s="184" t="s">
        <v>295</v>
      </c>
      <c r="K953" s="184" t="s">
        <v>368</v>
      </c>
      <c r="L953" s="185">
        <v>1</v>
      </c>
      <c r="M953" s="186">
        <v>542.9</v>
      </c>
      <c r="N953" s="186">
        <v>0</v>
      </c>
      <c r="O953" s="125">
        <f t="shared" si="78"/>
        <v>542.9</v>
      </c>
      <c r="P953" s="125"/>
      <c r="Q953" s="73">
        <f t="shared" si="77"/>
        <v>61.944890000000001</v>
      </c>
    </row>
    <row r="954" spans="1:17" ht="14.5" x14ac:dyDescent="0.35">
      <c r="A954" s="184" t="s">
        <v>155</v>
      </c>
      <c r="B954" s="184" t="s">
        <v>436</v>
      </c>
      <c r="C954" s="184" t="s">
        <v>228</v>
      </c>
      <c r="D954" s="185" t="s">
        <v>288</v>
      </c>
      <c r="E954" s="185">
        <v>50862</v>
      </c>
      <c r="F954" s="185" t="s">
        <v>149</v>
      </c>
      <c r="G954" s="184">
        <v>104000</v>
      </c>
      <c r="H954" s="184" t="s">
        <v>114</v>
      </c>
      <c r="I954" s="184" t="s">
        <v>337</v>
      </c>
      <c r="J954" s="184" t="s">
        <v>295</v>
      </c>
      <c r="K954" s="184" t="s">
        <v>352</v>
      </c>
      <c r="L954" s="185">
        <v>1</v>
      </c>
      <c r="M954" s="186">
        <v>822.1</v>
      </c>
      <c r="N954" s="186">
        <v>0</v>
      </c>
      <c r="O954" s="125">
        <f t="shared" si="78"/>
        <v>822.1</v>
      </c>
      <c r="P954" s="125"/>
      <c r="Q954" s="73">
        <f t="shared" si="77"/>
        <v>93.801610000000011</v>
      </c>
    </row>
    <row r="955" spans="1:17" ht="14.5" x14ac:dyDescent="0.35">
      <c r="A955" s="184" t="s">
        <v>155</v>
      </c>
      <c r="B955" s="184" t="s">
        <v>436</v>
      </c>
      <c r="C955" s="184" t="s">
        <v>228</v>
      </c>
      <c r="D955" s="185" t="s">
        <v>288</v>
      </c>
      <c r="E955" s="185">
        <v>50863</v>
      </c>
      <c r="F955" s="185" t="s">
        <v>149</v>
      </c>
      <c r="G955" s="184">
        <v>104000</v>
      </c>
      <c r="H955" s="184" t="s">
        <v>114</v>
      </c>
      <c r="I955" s="184" t="s">
        <v>337</v>
      </c>
      <c r="J955" s="184" t="s">
        <v>295</v>
      </c>
      <c r="K955" s="184" t="s">
        <v>369</v>
      </c>
      <c r="L955" s="185">
        <v>1</v>
      </c>
      <c r="M955" s="186">
        <v>666.99</v>
      </c>
      <c r="N955" s="186">
        <v>0</v>
      </c>
      <c r="O955" s="125">
        <f t="shared" si="78"/>
        <v>666.99</v>
      </c>
      <c r="P955" s="125"/>
      <c r="Q955" s="73">
        <f t="shared" si="77"/>
        <v>76.103559000000004</v>
      </c>
    </row>
    <row r="956" spans="1:17" ht="14.5" x14ac:dyDescent="0.35">
      <c r="A956" s="184" t="s">
        <v>155</v>
      </c>
      <c r="B956" s="184" t="s">
        <v>436</v>
      </c>
      <c r="C956" s="184" t="s">
        <v>228</v>
      </c>
      <c r="D956" s="185" t="s">
        <v>288</v>
      </c>
      <c r="E956" s="185">
        <v>50864</v>
      </c>
      <c r="F956" s="185" t="s">
        <v>149</v>
      </c>
      <c r="G956" s="184">
        <v>104000</v>
      </c>
      <c r="H956" s="184" t="s">
        <v>114</v>
      </c>
      <c r="I956" s="184" t="s">
        <v>337</v>
      </c>
      <c r="J956" s="184" t="s">
        <v>295</v>
      </c>
      <c r="K956" s="184" t="s">
        <v>370</v>
      </c>
      <c r="L956" s="185">
        <v>1</v>
      </c>
      <c r="M956" s="186">
        <v>698.01</v>
      </c>
      <c r="N956" s="186">
        <v>0</v>
      </c>
      <c r="O956" s="125">
        <f t="shared" si="78"/>
        <v>698.01</v>
      </c>
      <c r="P956" s="125"/>
      <c r="Q956" s="73">
        <f t="shared" si="77"/>
        <v>79.642941000000008</v>
      </c>
    </row>
    <row r="957" spans="1:17" ht="14.5" x14ac:dyDescent="0.35">
      <c r="A957" s="184" t="s">
        <v>155</v>
      </c>
      <c r="B957" s="184" t="s">
        <v>436</v>
      </c>
      <c r="C957" s="184" t="s">
        <v>228</v>
      </c>
      <c r="D957" s="185" t="s">
        <v>288</v>
      </c>
      <c r="E957" s="185">
        <v>50865</v>
      </c>
      <c r="F957" s="185" t="s">
        <v>149</v>
      </c>
      <c r="G957" s="184">
        <v>104000</v>
      </c>
      <c r="H957" s="184" t="s">
        <v>114</v>
      </c>
      <c r="I957" s="184" t="s">
        <v>337</v>
      </c>
      <c r="J957" s="184" t="s">
        <v>295</v>
      </c>
      <c r="K957" s="184" t="s">
        <v>371</v>
      </c>
      <c r="L957" s="185">
        <v>1</v>
      </c>
      <c r="M957" s="186">
        <v>1799.31</v>
      </c>
      <c r="N957" s="186">
        <v>0</v>
      </c>
      <c r="O957" s="125">
        <f t="shared" si="78"/>
        <v>1799.31</v>
      </c>
      <c r="P957" s="125"/>
      <c r="Q957" s="73">
        <f t="shared" si="77"/>
        <v>205.30127100000001</v>
      </c>
    </row>
    <row r="958" spans="1:17" ht="14.5" x14ac:dyDescent="0.35">
      <c r="A958" s="184" t="s">
        <v>155</v>
      </c>
      <c r="B958" s="184" t="s">
        <v>436</v>
      </c>
      <c r="C958" s="184" t="s">
        <v>228</v>
      </c>
      <c r="D958" s="185" t="s">
        <v>288</v>
      </c>
      <c r="E958" s="185">
        <v>50866</v>
      </c>
      <c r="F958" s="185" t="s">
        <v>149</v>
      </c>
      <c r="G958" s="184">
        <v>104000</v>
      </c>
      <c r="H958" s="184" t="s">
        <v>114</v>
      </c>
      <c r="I958" s="184" t="s">
        <v>337</v>
      </c>
      <c r="J958" s="184" t="s">
        <v>295</v>
      </c>
      <c r="K958" s="184" t="s">
        <v>372</v>
      </c>
      <c r="L958" s="185">
        <v>1</v>
      </c>
      <c r="M958" s="186">
        <v>899.65</v>
      </c>
      <c r="N958" s="186">
        <v>0</v>
      </c>
      <c r="O958" s="125">
        <f t="shared" si="78"/>
        <v>899.65</v>
      </c>
      <c r="P958" s="125"/>
      <c r="Q958" s="73">
        <f t="shared" si="77"/>
        <v>102.65006500000001</v>
      </c>
    </row>
    <row r="959" spans="1:17" ht="14.5" x14ac:dyDescent="0.35">
      <c r="A959" s="184" t="s">
        <v>155</v>
      </c>
      <c r="B959" s="184" t="s">
        <v>436</v>
      </c>
      <c r="C959" s="184" t="s">
        <v>228</v>
      </c>
      <c r="D959" s="185" t="s">
        <v>288</v>
      </c>
      <c r="E959" s="185">
        <v>50867</v>
      </c>
      <c r="F959" s="185" t="s">
        <v>149</v>
      </c>
      <c r="G959" s="184">
        <v>104000</v>
      </c>
      <c r="H959" s="184" t="s">
        <v>114</v>
      </c>
      <c r="I959" s="184" t="s">
        <v>337</v>
      </c>
      <c r="J959" s="184" t="s">
        <v>295</v>
      </c>
      <c r="K959" s="184" t="s">
        <v>373</v>
      </c>
      <c r="L959" s="185">
        <v>1</v>
      </c>
      <c r="M959" s="186">
        <v>853.12</v>
      </c>
      <c r="N959" s="186">
        <v>0</v>
      </c>
      <c r="O959" s="125">
        <f t="shared" si="78"/>
        <v>853.12</v>
      </c>
      <c r="P959" s="125"/>
      <c r="Q959" s="73">
        <f t="shared" si="77"/>
        <v>97.340992000000014</v>
      </c>
    </row>
    <row r="960" spans="1:17" ht="14.5" x14ac:dyDescent="0.35">
      <c r="A960" s="184" t="s">
        <v>155</v>
      </c>
      <c r="B960" s="184" t="s">
        <v>436</v>
      </c>
      <c r="C960" s="184" t="s">
        <v>228</v>
      </c>
      <c r="D960" s="185" t="s">
        <v>288</v>
      </c>
      <c r="E960" s="185">
        <v>50868</v>
      </c>
      <c r="F960" s="185" t="s">
        <v>149</v>
      </c>
      <c r="G960" s="184">
        <v>104000</v>
      </c>
      <c r="H960" s="184" t="s">
        <v>114</v>
      </c>
      <c r="I960" s="184" t="s">
        <v>337</v>
      </c>
      <c r="J960" s="184" t="s">
        <v>295</v>
      </c>
      <c r="K960" s="184" t="s">
        <v>351</v>
      </c>
      <c r="L960" s="185">
        <v>1</v>
      </c>
      <c r="M960" s="186">
        <v>1209.8800000000001</v>
      </c>
      <c r="N960" s="186">
        <v>0</v>
      </c>
      <c r="O960" s="125">
        <f t="shared" si="78"/>
        <v>1209.8800000000001</v>
      </c>
      <c r="P960" s="125"/>
      <c r="Q960" s="73">
        <f t="shared" si="77"/>
        <v>138.04730800000002</v>
      </c>
    </row>
    <row r="961" spans="1:17" ht="14.5" x14ac:dyDescent="0.35">
      <c r="A961" s="184" t="s">
        <v>155</v>
      </c>
      <c r="B961" s="184" t="s">
        <v>436</v>
      </c>
      <c r="C961" s="184" t="s">
        <v>228</v>
      </c>
      <c r="D961" s="185" t="s">
        <v>288</v>
      </c>
      <c r="E961" s="185">
        <v>50869</v>
      </c>
      <c r="F961" s="185" t="s">
        <v>149</v>
      </c>
      <c r="G961" s="184">
        <v>104000</v>
      </c>
      <c r="H961" s="184" t="s">
        <v>114</v>
      </c>
      <c r="I961" s="184" t="s">
        <v>337</v>
      </c>
      <c r="J961" s="184" t="s">
        <v>295</v>
      </c>
      <c r="K961" s="184" t="s">
        <v>374</v>
      </c>
      <c r="L961" s="185">
        <v>1</v>
      </c>
      <c r="M961" s="186">
        <v>542.9</v>
      </c>
      <c r="N961" s="186">
        <v>0</v>
      </c>
      <c r="O961" s="125">
        <f t="shared" si="78"/>
        <v>542.9</v>
      </c>
      <c r="P961" s="125"/>
      <c r="Q961" s="73">
        <f t="shared" si="77"/>
        <v>61.944890000000001</v>
      </c>
    </row>
    <row r="962" spans="1:17" ht="14.5" x14ac:dyDescent="0.35">
      <c r="A962" s="184" t="s">
        <v>155</v>
      </c>
      <c r="B962" s="184" t="s">
        <v>436</v>
      </c>
      <c r="C962" s="184" t="s">
        <v>228</v>
      </c>
      <c r="D962" s="185" t="s">
        <v>288</v>
      </c>
      <c r="E962" s="185">
        <v>50870</v>
      </c>
      <c r="F962" s="185" t="s">
        <v>149</v>
      </c>
      <c r="G962" s="184">
        <v>104000</v>
      </c>
      <c r="H962" s="184" t="s">
        <v>114</v>
      </c>
      <c r="I962" s="184" t="s">
        <v>337</v>
      </c>
      <c r="J962" s="184" t="s">
        <v>295</v>
      </c>
      <c r="K962" s="184" t="s">
        <v>375</v>
      </c>
      <c r="L962" s="185">
        <v>1</v>
      </c>
      <c r="M962" s="186">
        <v>259.26</v>
      </c>
      <c r="N962" s="186">
        <v>0</v>
      </c>
      <c r="O962" s="125">
        <f t="shared" si="78"/>
        <v>259.26</v>
      </c>
      <c r="P962" s="125"/>
      <c r="Q962" s="73">
        <f t="shared" si="77"/>
        <v>29.581566000000002</v>
      </c>
    </row>
    <row r="963" spans="1:17" ht="14.5" x14ac:dyDescent="0.35">
      <c r="A963" s="184" t="s">
        <v>155</v>
      </c>
      <c r="B963" s="184" t="s">
        <v>436</v>
      </c>
      <c r="C963" s="184" t="s">
        <v>228</v>
      </c>
      <c r="D963" s="185" t="s">
        <v>288</v>
      </c>
      <c r="E963" s="185">
        <v>50871</v>
      </c>
      <c r="F963" s="185" t="s">
        <v>149</v>
      </c>
      <c r="G963" s="184">
        <v>105019</v>
      </c>
      <c r="H963" s="184" t="s">
        <v>115</v>
      </c>
      <c r="I963" s="184" t="s">
        <v>337</v>
      </c>
      <c r="J963" s="184" t="s">
        <v>295</v>
      </c>
      <c r="K963" s="184" t="s">
        <v>423</v>
      </c>
      <c r="L963" s="185">
        <v>1</v>
      </c>
      <c r="M963" s="186">
        <v>91.53</v>
      </c>
      <c r="N963" s="186">
        <v>0</v>
      </c>
      <c r="O963" s="125">
        <f t="shared" si="78"/>
        <v>91.53</v>
      </c>
      <c r="P963" s="125"/>
      <c r="Q963" s="73">
        <f t="shared" ref="Q963:Q1026" si="79">M963*$Q$7*1.141</f>
        <v>10.443573000000001</v>
      </c>
    </row>
    <row r="964" spans="1:17" ht="14.5" x14ac:dyDescent="0.35">
      <c r="A964" s="184" t="s">
        <v>155</v>
      </c>
      <c r="B964" s="184" t="s">
        <v>436</v>
      </c>
      <c r="C964" s="184" t="s">
        <v>228</v>
      </c>
      <c r="D964" s="185" t="s">
        <v>288</v>
      </c>
      <c r="E964" s="185">
        <v>50873</v>
      </c>
      <c r="F964" s="185" t="s">
        <v>149</v>
      </c>
      <c r="G964" s="184">
        <v>105019</v>
      </c>
      <c r="H964" s="184" t="s">
        <v>115</v>
      </c>
      <c r="I964" s="184" t="s">
        <v>337</v>
      </c>
      <c r="J964" s="184" t="s">
        <v>295</v>
      </c>
      <c r="K964" s="184" t="s">
        <v>353</v>
      </c>
      <c r="L964" s="185">
        <v>1</v>
      </c>
      <c r="M964" s="186">
        <v>236.42</v>
      </c>
      <c r="N964" s="186">
        <v>0</v>
      </c>
      <c r="O964" s="125">
        <f t="shared" si="78"/>
        <v>236.42</v>
      </c>
      <c r="P964" s="125"/>
      <c r="Q964" s="73">
        <f t="shared" si="79"/>
        <v>26.975521999999998</v>
      </c>
    </row>
    <row r="965" spans="1:17" ht="14.5" x14ac:dyDescent="0.35">
      <c r="A965" s="184" t="s">
        <v>155</v>
      </c>
      <c r="B965" s="184" t="s">
        <v>436</v>
      </c>
      <c r="C965" s="184" t="s">
        <v>228</v>
      </c>
      <c r="D965" s="185" t="s">
        <v>288</v>
      </c>
      <c r="E965" s="185">
        <v>50874</v>
      </c>
      <c r="F965" s="185" t="s">
        <v>149</v>
      </c>
      <c r="G965" s="184">
        <v>105019</v>
      </c>
      <c r="H965" s="184" t="s">
        <v>115</v>
      </c>
      <c r="I965" s="184" t="s">
        <v>337</v>
      </c>
      <c r="J965" s="184" t="s">
        <v>295</v>
      </c>
      <c r="K965" s="184" t="s">
        <v>354</v>
      </c>
      <c r="L965" s="185">
        <v>1</v>
      </c>
      <c r="M965" s="186">
        <v>300.89</v>
      </c>
      <c r="N965" s="186">
        <v>0</v>
      </c>
      <c r="O965" s="125">
        <f t="shared" si="78"/>
        <v>300.89</v>
      </c>
      <c r="P965" s="125"/>
      <c r="Q965" s="73">
        <f t="shared" si="79"/>
        <v>34.331548999999995</v>
      </c>
    </row>
    <row r="966" spans="1:17" ht="14.5" x14ac:dyDescent="0.35">
      <c r="A966" s="184" t="s">
        <v>155</v>
      </c>
      <c r="B966" s="184" t="s">
        <v>436</v>
      </c>
      <c r="C966" s="184" t="s">
        <v>228</v>
      </c>
      <c r="D966" s="185" t="s">
        <v>288</v>
      </c>
      <c r="E966" s="185">
        <v>50875</v>
      </c>
      <c r="F966" s="185" t="s">
        <v>149</v>
      </c>
      <c r="G966" s="184">
        <v>105019</v>
      </c>
      <c r="H966" s="184" t="s">
        <v>115</v>
      </c>
      <c r="I966" s="184" t="s">
        <v>337</v>
      </c>
      <c r="J966" s="184" t="s">
        <v>295</v>
      </c>
      <c r="K966" s="184" t="s">
        <v>355</v>
      </c>
      <c r="L966" s="185">
        <v>1</v>
      </c>
      <c r="M966" s="186">
        <v>214.92</v>
      </c>
      <c r="N966" s="186">
        <v>0</v>
      </c>
      <c r="O966" s="125">
        <f t="shared" si="78"/>
        <v>214.92</v>
      </c>
      <c r="P966" s="125"/>
      <c r="Q966" s="73">
        <f t="shared" si="79"/>
        <v>24.522372000000001</v>
      </c>
    </row>
    <row r="967" spans="1:17" ht="14.5" x14ac:dyDescent="0.35">
      <c r="A967" s="184" t="s">
        <v>155</v>
      </c>
      <c r="B967" s="184" t="s">
        <v>436</v>
      </c>
      <c r="C967" s="184" t="s">
        <v>228</v>
      </c>
      <c r="D967" s="185" t="s">
        <v>288</v>
      </c>
      <c r="E967" s="185">
        <v>50876</v>
      </c>
      <c r="F967" s="185" t="s">
        <v>149</v>
      </c>
      <c r="G967" s="184">
        <v>105019</v>
      </c>
      <c r="H967" s="184" t="s">
        <v>115</v>
      </c>
      <c r="I967" s="184" t="s">
        <v>337</v>
      </c>
      <c r="J967" s="184" t="s">
        <v>295</v>
      </c>
      <c r="K967" s="184" t="s">
        <v>356</v>
      </c>
      <c r="L967" s="185">
        <v>1</v>
      </c>
      <c r="M967" s="186">
        <v>171.94</v>
      </c>
      <c r="N967" s="186">
        <v>0</v>
      </c>
      <c r="O967" s="125">
        <f t="shared" si="78"/>
        <v>171.94</v>
      </c>
      <c r="P967" s="125"/>
      <c r="Q967" s="73">
        <f t="shared" si="79"/>
        <v>19.618354</v>
      </c>
    </row>
    <row r="968" spans="1:17" ht="14.5" x14ac:dyDescent="0.35">
      <c r="A968" s="184" t="s">
        <v>155</v>
      </c>
      <c r="B968" s="184" t="s">
        <v>436</v>
      </c>
      <c r="C968" s="184" t="s">
        <v>228</v>
      </c>
      <c r="D968" s="185" t="s">
        <v>288</v>
      </c>
      <c r="E968" s="185">
        <v>50877</v>
      </c>
      <c r="F968" s="185" t="s">
        <v>149</v>
      </c>
      <c r="G968" s="184">
        <v>105019</v>
      </c>
      <c r="H968" s="184" t="s">
        <v>115</v>
      </c>
      <c r="I968" s="184" t="s">
        <v>337</v>
      </c>
      <c r="J968" s="184" t="s">
        <v>295</v>
      </c>
      <c r="K968" s="184" t="s">
        <v>357</v>
      </c>
      <c r="L968" s="185">
        <v>1</v>
      </c>
      <c r="M968" s="186">
        <v>193.43</v>
      </c>
      <c r="N968" s="186">
        <v>0</v>
      </c>
      <c r="O968" s="125">
        <f t="shared" ref="O968:O1031" si="80">M968-N968</f>
        <v>193.43</v>
      </c>
      <c r="P968" s="125"/>
      <c r="Q968" s="73">
        <f t="shared" si="79"/>
        <v>22.070363000000004</v>
      </c>
    </row>
    <row r="969" spans="1:17" ht="14.5" x14ac:dyDescent="0.35">
      <c r="A969" s="184" t="s">
        <v>155</v>
      </c>
      <c r="B969" s="184" t="s">
        <v>436</v>
      </c>
      <c r="C969" s="184" t="s">
        <v>228</v>
      </c>
      <c r="D969" s="185" t="s">
        <v>288</v>
      </c>
      <c r="E969" s="185">
        <v>50878</v>
      </c>
      <c r="F969" s="185" t="s">
        <v>149</v>
      </c>
      <c r="G969" s="184">
        <v>105019</v>
      </c>
      <c r="H969" s="184" t="s">
        <v>115</v>
      </c>
      <c r="I969" s="184" t="s">
        <v>337</v>
      </c>
      <c r="J969" s="184" t="s">
        <v>295</v>
      </c>
      <c r="K969" s="184" t="s">
        <v>358</v>
      </c>
      <c r="L969" s="185">
        <v>1</v>
      </c>
      <c r="M969" s="186">
        <v>300.89</v>
      </c>
      <c r="N969" s="186">
        <v>0</v>
      </c>
      <c r="O969" s="125">
        <f t="shared" si="80"/>
        <v>300.89</v>
      </c>
      <c r="P969" s="125"/>
      <c r="Q969" s="73">
        <f t="shared" si="79"/>
        <v>34.331548999999995</v>
      </c>
    </row>
    <row r="970" spans="1:17" ht="14.5" x14ac:dyDescent="0.35">
      <c r="A970" s="184" t="s">
        <v>155</v>
      </c>
      <c r="B970" s="184" t="s">
        <v>436</v>
      </c>
      <c r="C970" s="184" t="s">
        <v>228</v>
      </c>
      <c r="D970" s="185" t="s">
        <v>288</v>
      </c>
      <c r="E970" s="185">
        <v>50879</v>
      </c>
      <c r="F970" s="185" t="s">
        <v>149</v>
      </c>
      <c r="G970" s="184">
        <v>105019</v>
      </c>
      <c r="H970" s="184" t="s">
        <v>115</v>
      </c>
      <c r="I970" s="184" t="s">
        <v>337</v>
      </c>
      <c r="J970" s="184" t="s">
        <v>295</v>
      </c>
      <c r="K970" s="184" t="s">
        <v>361</v>
      </c>
      <c r="L970" s="185">
        <v>1</v>
      </c>
      <c r="M970" s="186">
        <v>42.98</v>
      </c>
      <c r="N970" s="186">
        <v>0</v>
      </c>
      <c r="O970" s="125">
        <f t="shared" si="80"/>
        <v>42.98</v>
      </c>
      <c r="P970" s="125"/>
      <c r="Q970" s="73">
        <f t="shared" si="79"/>
        <v>4.9040179999999998</v>
      </c>
    </row>
    <row r="971" spans="1:17" ht="14.5" x14ac:dyDescent="0.35">
      <c r="A971" s="184" t="s">
        <v>155</v>
      </c>
      <c r="B971" s="184" t="s">
        <v>436</v>
      </c>
      <c r="C971" s="184" t="s">
        <v>228</v>
      </c>
      <c r="D971" s="185" t="s">
        <v>288</v>
      </c>
      <c r="E971" s="185">
        <v>50880</v>
      </c>
      <c r="F971" s="185" t="s">
        <v>149</v>
      </c>
      <c r="G971" s="184">
        <v>105019</v>
      </c>
      <c r="H971" s="184" t="s">
        <v>115</v>
      </c>
      <c r="I971" s="184" t="s">
        <v>337</v>
      </c>
      <c r="J971" s="184" t="s">
        <v>295</v>
      </c>
      <c r="K971" s="184" t="s">
        <v>359</v>
      </c>
      <c r="L971" s="185">
        <v>1</v>
      </c>
      <c r="M971" s="186">
        <v>257.91000000000003</v>
      </c>
      <c r="N971" s="186">
        <v>0</v>
      </c>
      <c r="O971" s="125">
        <f t="shared" si="80"/>
        <v>257.91000000000003</v>
      </c>
      <c r="P971" s="125"/>
      <c r="Q971" s="73">
        <f t="shared" si="79"/>
        <v>29.427531000000005</v>
      </c>
    </row>
    <row r="972" spans="1:17" ht="14.5" x14ac:dyDescent="0.35">
      <c r="A972" s="184" t="s">
        <v>155</v>
      </c>
      <c r="B972" s="184" t="s">
        <v>436</v>
      </c>
      <c r="C972" s="184" t="s">
        <v>228</v>
      </c>
      <c r="D972" s="185" t="s">
        <v>288</v>
      </c>
      <c r="E972" s="185">
        <v>50881</v>
      </c>
      <c r="F972" s="185" t="s">
        <v>149</v>
      </c>
      <c r="G972" s="184">
        <v>105019</v>
      </c>
      <c r="H972" s="184" t="s">
        <v>115</v>
      </c>
      <c r="I972" s="184" t="s">
        <v>337</v>
      </c>
      <c r="J972" s="184" t="s">
        <v>295</v>
      </c>
      <c r="K972" s="184" t="s">
        <v>360</v>
      </c>
      <c r="L972" s="185">
        <v>1</v>
      </c>
      <c r="M972" s="186">
        <v>208.41</v>
      </c>
      <c r="N972" s="186">
        <v>0</v>
      </c>
      <c r="O972" s="125">
        <f t="shared" si="80"/>
        <v>208.41</v>
      </c>
      <c r="P972" s="125"/>
      <c r="Q972" s="73">
        <f t="shared" si="79"/>
        <v>23.779581</v>
      </c>
    </row>
    <row r="973" spans="1:17" ht="14.5" x14ac:dyDescent="0.35">
      <c r="A973" s="184" t="s">
        <v>155</v>
      </c>
      <c r="B973" s="184" t="s">
        <v>436</v>
      </c>
      <c r="C973" s="184" t="s">
        <v>228</v>
      </c>
      <c r="D973" s="185" t="s">
        <v>288</v>
      </c>
      <c r="E973" s="185">
        <v>50882</v>
      </c>
      <c r="F973" s="185" t="s">
        <v>149</v>
      </c>
      <c r="G973" s="184">
        <v>105019</v>
      </c>
      <c r="H973" s="184" t="s">
        <v>115</v>
      </c>
      <c r="I973" s="184" t="s">
        <v>337</v>
      </c>
      <c r="J973" s="184" t="s">
        <v>295</v>
      </c>
      <c r="K973" s="184" t="s">
        <v>362</v>
      </c>
      <c r="L973" s="185">
        <v>1</v>
      </c>
      <c r="M973" s="186">
        <v>193.43</v>
      </c>
      <c r="N973" s="186">
        <v>0</v>
      </c>
      <c r="O973" s="125">
        <f t="shared" si="80"/>
        <v>193.43</v>
      </c>
      <c r="P973" s="125"/>
      <c r="Q973" s="73">
        <f t="shared" si="79"/>
        <v>22.070363000000004</v>
      </c>
    </row>
    <row r="974" spans="1:17" ht="14.5" x14ac:dyDescent="0.35">
      <c r="A974" s="184" t="s">
        <v>155</v>
      </c>
      <c r="B974" s="184" t="s">
        <v>436</v>
      </c>
      <c r="C974" s="184" t="s">
        <v>228</v>
      </c>
      <c r="D974" s="185" t="s">
        <v>288</v>
      </c>
      <c r="E974" s="185">
        <v>50883</v>
      </c>
      <c r="F974" s="185" t="s">
        <v>149</v>
      </c>
      <c r="G974" s="184">
        <v>105019</v>
      </c>
      <c r="H974" s="184" t="s">
        <v>115</v>
      </c>
      <c r="I974" s="184" t="s">
        <v>337</v>
      </c>
      <c r="J974" s="184" t="s">
        <v>295</v>
      </c>
      <c r="K974" s="184" t="s">
        <v>363</v>
      </c>
      <c r="L974" s="185">
        <v>1</v>
      </c>
      <c r="M974" s="186">
        <v>236.42</v>
      </c>
      <c r="N974" s="186">
        <v>0</v>
      </c>
      <c r="O974" s="125">
        <f t="shared" si="80"/>
        <v>236.42</v>
      </c>
      <c r="P974" s="125"/>
      <c r="Q974" s="73">
        <f t="shared" si="79"/>
        <v>26.975521999999998</v>
      </c>
    </row>
    <row r="975" spans="1:17" ht="14.5" x14ac:dyDescent="0.35">
      <c r="A975" s="184" t="s">
        <v>155</v>
      </c>
      <c r="B975" s="184" t="s">
        <v>436</v>
      </c>
      <c r="C975" s="184" t="s">
        <v>228</v>
      </c>
      <c r="D975" s="185" t="s">
        <v>288</v>
      </c>
      <c r="E975" s="185">
        <v>50884</v>
      </c>
      <c r="F975" s="185" t="s">
        <v>149</v>
      </c>
      <c r="G975" s="184">
        <v>105019</v>
      </c>
      <c r="H975" s="184" t="s">
        <v>115</v>
      </c>
      <c r="I975" s="184" t="s">
        <v>337</v>
      </c>
      <c r="J975" s="184" t="s">
        <v>295</v>
      </c>
      <c r="K975" s="184" t="s">
        <v>364</v>
      </c>
      <c r="L975" s="185">
        <v>1</v>
      </c>
      <c r="M975" s="186">
        <v>429.85</v>
      </c>
      <c r="N975" s="186">
        <v>0</v>
      </c>
      <c r="O975" s="125">
        <f t="shared" si="80"/>
        <v>429.85</v>
      </c>
      <c r="P975" s="125"/>
      <c r="Q975" s="73">
        <f t="shared" si="79"/>
        <v>49.045885000000006</v>
      </c>
    </row>
    <row r="976" spans="1:17" ht="14.5" x14ac:dyDescent="0.35">
      <c r="A976" s="184" t="s">
        <v>155</v>
      </c>
      <c r="B976" s="184" t="s">
        <v>436</v>
      </c>
      <c r="C976" s="184" t="s">
        <v>228</v>
      </c>
      <c r="D976" s="185" t="s">
        <v>288</v>
      </c>
      <c r="E976" s="185">
        <v>50885</v>
      </c>
      <c r="F976" s="185" t="s">
        <v>149</v>
      </c>
      <c r="G976" s="184">
        <v>105019</v>
      </c>
      <c r="H976" s="184" t="s">
        <v>115</v>
      </c>
      <c r="I976" s="184" t="s">
        <v>337</v>
      </c>
      <c r="J976" s="184" t="s">
        <v>295</v>
      </c>
      <c r="K976" s="184" t="s">
        <v>365</v>
      </c>
      <c r="L976" s="185">
        <v>1</v>
      </c>
      <c r="M976" s="186">
        <v>234.35</v>
      </c>
      <c r="N976" s="186">
        <v>0</v>
      </c>
      <c r="O976" s="125">
        <f t="shared" si="80"/>
        <v>234.35</v>
      </c>
      <c r="P976" s="125"/>
      <c r="Q976" s="73">
        <f t="shared" si="79"/>
        <v>26.739335000000004</v>
      </c>
    </row>
    <row r="977" spans="1:17" ht="14.5" x14ac:dyDescent="0.35">
      <c r="A977" s="184" t="s">
        <v>155</v>
      </c>
      <c r="B977" s="184" t="s">
        <v>436</v>
      </c>
      <c r="C977" s="184" t="s">
        <v>228</v>
      </c>
      <c r="D977" s="185" t="s">
        <v>288</v>
      </c>
      <c r="E977" s="185">
        <v>50886</v>
      </c>
      <c r="F977" s="185" t="s">
        <v>149</v>
      </c>
      <c r="G977" s="184">
        <v>105019</v>
      </c>
      <c r="H977" s="184" t="s">
        <v>115</v>
      </c>
      <c r="I977" s="184" t="s">
        <v>337</v>
      </c>
      <c r="J977" s="184" t="s">
        <v>295</v>
      </c>
      <c r="K977" s="184" t="s">
        <v>366</v>
      </c>
      <c r="L977" s="185">
        <v>1</v>
      </c>
      <c r="M977" s="186">
        <v>386.86</v>
      </c>
      <c r="N977" s="186">
        <v>0</v>
      </c>
      <c r="O977" s="125">
        <f t="shared" si="80"/>
        <v>386.86</v>
      </c>
      <c r="P977" s="125"/>
      <c r="Q977" s="73">
        <f t="shared" si="79"/>
        <v>44.140726000000008</v>
      </c>
    </row>
    <row r="978" spans="1:17" ht="14.5" x14ac:dyDescent="0.35">
      <c r="A978" s="184" t="s">
        <v>155</v>
      </c>
      <c r="B978" s="184" t="s">
        <v>436</v>
      </c>
      <c r="C978" s="184" t="s">
        <v>228</v>
      </c>
      <c r="D978" s="185" t="s">
        <v>288</v>
      </c>
      <c r="E978" s="185">
        <v>50887</v>
      </c>
      <c r="F978" s="185" t="s">
        <v>149</v>
      </c>
      <c r="G978" s="184">
        <v>105019</v>
      </c>
      <c r="H978" s="184" t="s">
        <v>115</v>
      </c>
      <c r="I978" s="184" t="s">
        <v>337</v>
      </c>
      <c r="J978" s="184" t="s">
        <v>295</v>
      </c>
      <c r="K978" s="184" t="s">
        <v>367</v>
      </c>
      <c r="L978" s="185">
        <v>1</v>
      </c>
      <c r="M978" s="186">
        <v>150.44999999999999</v>
      </c>
      <c r="N978" s="186">
        <v>0</v>
      </c>
      <c r="O978" s="125">
        <f t="shared" si="80"/>
        <v>150.44999999999999</v>
      </c>
      <c r="P978" s="125"/>
      <c r="Q978" s="73">
        <f t="shared" si="79"/>
        <v>17.166345</v>
      </c>
    </row>
    <row r="979" spans="1:17" ht="14.5" x14ac:dyDescent="0.35">
      <c r="A979" s="184" t="s">
        <v>155</v>
      </c>
      <c r="B979" s="184" t="s">
        <v>436</v>
      </c>
      <c r="C979" s="184" t="s">
        <v>228</v>
      </c>
      <c r="D979" s="185" t="s">
        <v>288</v>
      </c>
      <c r="E979" s="185">
        <v>50888</v>
      </c>
      <c r="F979" s="185" t="s">
        <v>149</v>
      </c>
      <c r="G979" s="184">
        <v>105019</v>
      </c>
      <c r="H979" s="184" t="s">
        <v>115</v>
      </c>
      <c r="I979" s="184" t="s">
        <v>337</v>
      </c>
      <c r="J979" s="184" t="s">
        <v>295</v>
      </c>
      <c r="K979" s="184" t="s">
        <v>368</v>
      </c>
      <c r="L979" s="185">
        <v>1</v>
      </c>
      <c r="M979" s="186">
        <v>150.44999999999999</v>
      </c>
      <c r="N979" s="186">
        <v>0</v>
      </c>
      <c r="O979" s="125">
        <f t="shared" si="80"/>
        <v>150.44999999999999</v>
      </c>
      <c r="P979" s="125"/>
      <c r="Q979" s="73">
        <f t="shared" si="79"/>
        <v>17.166345</v>
      </c>
    </row>
    <row r="980" spans="1:17" ht="14.5" x14ac:dyDescent="0.35">
      <c r="A980" s="184" t="s">
        <v>155</v>
      </c>
      <c r="B980" s="184" t="s">
        <v>436</v>
      </c>
      <c r="C980" s="184" t="s">
        <v>228</v>
      </c>
      <c r="D980" s="185" t="s">
        <v>288</v>
      </c>
      <c r="E980" s="185">
        <v>50889</v>
      </c>
      <c r="F980" s="185" t="s">
        <v>149</v>
      </c>
      <c r="G980" s="184">
        <v>105019</v>
      </c>
      <c r="H980" s="184" t="s">
        <v>115</v>
      </c>
      <c r="I980" s="184" t="s">
        <v>337</v>
      </c>
      <c r="J980" s="184" t="s">
        <v>295</v>
      </c>
      <c r="K980" s="184" t="s">
        <v>352</v>
      </c>
      <c r="L980" s="185">
        <v>1</v>
      </c>
      <c r="M980" s="186">
        <v>227.82</v>
      </c>
      <c r="N980" s="186">
        <v>0</v>
      </c>
      <c r="O980" s="125">
        <f t="shared" si="80"/>
        <v>227.82</v>
      </c>
      <c r="P980" s="125"/>
      <c r="Q980" s="73">
        <f t="shared" si="79"/>
        <v>25.994261999999999</v>
      </c>
    </row>
    <row r="981" spans="1:17" ht="14.5" x14ac:dyDescent="0.35">
      <c r="A981" s="184" t="s">
        <v>155</v>
      </c>
      <c r="B981" s="184" t="s">
        <v>436</v>
      </c>
      <c r="C981" s="184" t="s">
        <v>228</v>
      </c>
      <c r="D981" s="185" t="s">
        <v>288</v>
      </c>
      <c r="E981" s="185">
        <v>50890</v>
      </c>
      <c r="F981" s="185" t="s">
        <v>149</v>
      </c>
      <c r="G981" s="184">
        <v>105019</v>
      </c>
      <c r="H981" s="184" t="s">
        <v>115</v>
      </c>
      <c r="I981" s="184" t="s">
        <v>337</v>
      </c>
      <c r="J981" s="184" t="s">
        <v>295</v>
      </c>
      <c r="K981" s="184" t="s">
        <v>369</v>
      </c>
      <c r="L981" s="185">
        <v>1</v>
      </c>
      <c r="M981" s="186">
        <v>184.83</v>
      </c>
      <c r="N981" s="186">
        <v>0</v>
      </c>
      <c r="O981" s="125">
        <f t="shared" si="80"/>
        <v>184.83</v>
      </c>
      <c r="P981" s="125"/>
      <c r="Q981" s="73">
        <f t="shared" si="79"/>
        <v>21.089103000000001</v>
      </c>
    </row>
    <row r="982" spans="1:17" ht="14.5" x14ac:dyDescent="0.35">
      <c r="A982" s="184" t="s">
        <v>155</v>
      </c>
      <c r="B982" s="184" t="s">
        <v>436</v>
      </c>
      <c r="C982" s="184" t="s">
        <v>228</v>
      </c>
      <c r="D982" s="185" t="s">
        <v>288</v>
      </c>
      <c r="E982" s="185">
        <v>50891</v>
      </c>
      <c r="F982" s="185" t="s">
        <v>149</v>
      </c>
      <c r="G982" s="184">
        <v>105019</v>
      </c>
      <c r="H982" s="184" t="s">
        <v>115</v>
      </c>
      <c r="I982" s="184" t="s">
        <v>337</v>
      </c>
      <c r="J982" s="184" t="s">
        <v>295</v>
      </c>
      <c r="K982" s="184" t="s">
        <v>370</v>
      </c>
      <c r="L982" s="185">
        <v>1</v>
      </c>
      <c r="M982" s="186">
        <v>193.43</v>
      </c>
      <c r="N982" s="186">
        <v>0</v>
      </c>
      <c r="O982" s="125">
        <f t="shared" si="80"/>
        <v>193.43</v>
      </c>
      <c r="P982" s="125"/>
      <c r="Q982" s="73">
        <f t="shared" si="79"/>
        <v>22.070363000000004</v>
      </c>
    </row>
    <row r="983" spans="1:17" ht="14.5" x14ac:dyDescent="0.35">
      <c r="A983" s="184" t="s">
        <v>155</v>
      </c>
      <c r="B983" s="184" t="s">
        <v>436</v>
      </c>
      <c r="C983" s="184" t="s">
        <v>228</v>
      </c>
      <c r="D983" s="185" t="s">
        <v>288</v>
      </c>
      <c r="E983" s="185">
        <v>50892</v>
      </c>
      <c r="F983" s="185" t="s">
        <v>149</v>
      </c>
      <c r="G983" s="184">
        <v>105019</v>
      </c>
      <c r="H983" s="184" t="s">
        <v>115</v>
      </c>
      <c r="I983" s="184" t="s">
        <v>337</v>
      </c>
      <c r="J983" s="184" t="s">
        <v>295</v>
      </c>
      <c r="K983" s="184" t="s">
        <v>371</v>
      </c>
      <c r="L983" s="185">
        <v>1</v>
      </c>
      <c r="M983" s="186">
        <v>498.62</v>
      </c>
      <c r="N983" s="186">
        <v>0</v>
      </c>
      <c r="O983" s="125">
        <f t="shared" si="80"/>
        <v>498.62</v>
      </c>
      <c r="P983" s="125"/>
      <c r="Q983" s="73">
        <f t="shared" si="79"/>
        <v>56.892542000000006</v>
      </c>
    </row>
    <row r="984" spans="1:17" ht="14.5" x14ac:dyDescent="0.35">
      <c r="A984" s="184" t="s">
        <v>155</v>
      </c>
      <c r="B984" s="184" t="s">
        <v>436</v>
      </c>
      <c r="C984" s="184" t="s">
        <v>228</v>
      </c>
      <c r="D984" s="185" t="s">
        <v>288</v>
      </c>
      <c r="E984" s="185">
        <v>50893</v>
      </c>
      <c r="F984" s="185" t="s">
        <v>149</v>
      </c>
      <c r="G984" s="184">
        <v>105019</v>
      </c>
      <c r="H984" s="184" t="s">
        <v>115</v>
      </c>
      <c r="I984" s="184" t="s">
        <v>337</v>
      </c>
      <c r="J984" s="184" t="s">
        <v>295</v>
      </c>
      <c r="K984" s="184" t="s">
        <v>372</v>
      </c>
      <c r="L984" s="185">
        <v>1</v>
      </c>
      <c r="M984" s="186">
        <v>249.31</v>
      </c>
      <c r="N984" s="186">
        <v>0</v>
      </c>
      <c r="O984" s="125">
        <f t="shared" si="80"/>
        <v>249.31</v>
      </c>
      <c r="P984" s="125"/>
      <c r="Q984" s="73">
        <f t="shared" si="79"/>
        <v>28.446271000000003</v>
      </c>
    </row>
    <row r="985" spans="1:17" ht="14.5" x14ac:dyDescent="0.35">
      <c r="A985" s="184" t="s">
        <v>155</v>
      </c>
      <c r="B985" s="184" t="s">
        <v>436</v>
      </c>
      <c r="C985" s="184" t="s">
        <v>228</v>
      </c>
      <c r="D985" s="185" t="s">
        <v>288</v>
      </c>
      <c r="E985" s="185">
        <v>50894</v>
      </c>
      <c r="F985" s="185" t="s">
        <v>149</v>
      </c>
      <c r="G985" s="184">
        <v>105019</v>
      </c>
      <c r="H985" s="184" t="s">
        <v>115</v>
      </c>
      <c r="I985" s="184" t="s">
        <v>337</v>
      </c>
      <c r="J985" s="184" t="s">
        <v>295</v>
      </c>
      <c r="K985" s="184" t="s">
        <v>373</v>
      </c>
      <c r="L985" s="185">
        <v>1</v>
      </c>
      <c r="M985" s="186">
        <v>236.42</v>
      </c>
      <c r="N985" s="186">
        <v>0</v>
      </c>
      <c r="O985" s="125">
        <f t="shared" si="80"/>
        <v>236.42</v>
      </c>
      <c r="P985" s="125"/>
      <c r="Q985" s="73">
        <f t="shared" si="79"/>
        <v>26.975521999999998</v>
      </c>
    </row>
    <row r="986" spans="1:17" ht="14.5" x14ac:dyDescent="0.35">
      <c r="A986" s="184" t="s">
        <v>155</v>
      </c>
      <c r="B986" s="184" t="s">
        <v>436</v>
      </c>
      <c r="C986" s="184" t="s">
        <v>228</v>
      </c>
      <c r="D986" s="185" t="s">
        <v>288</v>
      </c>
      <c r="E986" s="185">
        <v>50895</v>
      </c>
      <c r="F986" s="185" t="s">
        <v>149</v>
      </c>
      <c r="G986" s="184">
        <v>105019</v>
      </c>
      <c r="H986" s="184" t="s">
        <v>115</v>
      </c>
      <c r="I986" s="184" t="s">
        <v>337</v>
      </c>
      <c r="J986" s="184" t="s">
        <v>295</v>
      </c>
      <c r="K986" s="184" t="s">
        <v>351</v>
      </c>
      <c r="L986" s="185">
        <v>1</v>
      </c>
      <c r="M986" s="186">
        <v>335.28</v>
      </c>
      <c r="N986" s="186">
        <v>0</v>
      </c>
      <c r="O986" s="125">
        <f t="shared" si="80"/>
        <v>335.28</v>
      </c>
      <c r="P986" s="125"/>
      <c r="Q986" s="73">
        <f t="shared" si="79"/>
        <v>38.255448000000001</v>
      </c>
    </row>
    <row r="987" spans="1:17" ht="14.5" x14ac:dyDescent="0.35">
      <c r="A987" s="184" t="s">
        <v>155</v>
      </c>
      <c r="B987" s="184" t="s">
        <v>436</v>
      </c>
      <c r="C987" s="184" t="s">
        <v>228</v>
      </c>
      <c r="D987" s="185" t="s">
        <v>288</v>
      </c>
      <c r="E987" s="185">
        <v>50896</v>
      </c>
      <c r="F987" s="185" t="s">
        <v>149</v>
      </c>
      <c r="G987" s="184">
        <v>105019</v>
      </c>
      <c r="H987" s="184" t="s">
        <v>115</v>
      </c>
      <c r="I987" s="184" t="s">
        <v>337</v>
      </c>
      <c r="J987" s="184" t="s">
        <v>295</v>
      </c>
      <c r="K987" s="184" t="s">
        <v>374</v>
      </c>
      <c r="L987" s="185">
        <v>1</v>
      </c>
      <c r="M987" s="186">
        <v>150.44999999999999</v>
      </c>
      <c r="N987" s="186">
        <v>0</v>
      </c>
      <c r="O987" s="125">
        <f t="shared" si="80"/>
        <v>150.44999999999999</v>
      </c>
      <c r="P987" s="125"/>
      <c r="Q987" s="73">
        <f t="shared" si="79"/>
        <v>17.166345</v>
      </c>
    </row>
    <row r="988" spans="1:17" ht="14.5" x14ac:dyDescent="0.35">
      <c r="A988" s="184" t="s">
        <v>155</v>
      </c>
      <c r="B988" s="184" t="s">
        <v>436</v>
      </c>
      <c r="C988" s="184" t="s">
        <v>228</v>
      </c>
      <c r="D988" s="185" t="s">
        <v>288</v>
      </c>
      <c r="E988" s="185">
        <v>50897</v>
      </c>
      <c r="F988" s="185" t="s">
        <v>149</v>
      </c>
      <c r="G988" s="184">
        <v>105019</v>
      </c>
      <c r="H988" s="184" t="s">
        <v>115</v>
      </c>
      <c r="I988" s="184" t="s">
        <v>337</v>
      </c>
      <c r="J988" s="184" t="s">
        <v>295</v>
      </c>
      <c r="K988" s="184" t="s">
        <v>375</v>
      </c>
      <c r="L988" s="185">
        <v>1</v>
      </c>
      <c r="M988" s="186">
        <v>71.84</v>
      </c>
      <c r="N988" s="186">
        <v>0</v>
      </c>
      <c r="O988" s="125">
        <f t="shared" si="80"/>
        <v>71.84</v>
      </c>
      <c r="P988" s="125"/>
      <c r="Q988" s="73">
        <f t="shared" si="79"/>
        <v>8.196944000000002</v>
      </c>
    </row>
    <row r="989" spans="1:17" ht="14.5" x14ac:dyDescent="0.35">
      <c r="A989" s="184" t="s">
        <v>155</v>
      </c>
      <c r="B989" s="184" t="s">
        <v>436</v>
      </c>
      <c r="C989" s="184" t="s">
        <v>228</v>
      </c>
      <c r="D989" s="185" t="s">
        <v>288</v>
      </c>
      <c r="E989" s="185">
        <v>50898</v>
      </c>
      <c r="F989" s="185" t="s">
        <v>149</v>
      </c>
      <c r="G989" s="184">
        <v>107501</v>
      </c>
      <c r="H989" s="184" t="s">
        <v>159</v>
      </c>
      <c r="I989" s="184" t="s">
        <v>337</v>
      </c>
      <c r="J989" s="184" t="s">
        <v>295</v>
      </c>
      <c r="K989" s="184" t="s">
        <v>423</v>
      </c>
      <c r="L989" s="185">
        <v>1</v>
      </c>
      <c r="M989" s="186">
        <v>35996.269999999997</v>
      </c>
      <c r="N989" s="186">
        <v>0</v>
      </c>
      <c r="O989" s="125">
        <f t="shared" si="80"/>
        <v>35996.269999999997</v>
      </c>
      <c r="P989" s="125"/>
      <c r="Q989" s="73">
        <f t="shared" si="79"/>
        <v>4107.1744070000004</v>
      </c>
    </row>
    <row r="990" spans="1:17" ht="14.5" x14ac:dyDescent="0.35">
      <c r="A990" s="184" t="s">
        <v>155</v>
      </c>
      <c r="B990" s="184" t="s">
        <v>436</v>
      </c>
      <c r="C990" s="184" t="s">
        <v>228</v>
      </c>
      <c r="D990" s="185" t="s">
        <v>288</v>
      </c>
      <c r="E990" s="185">
        <v>50900</v>
      </c>
      <c r="F990" s="185" t="s">
        <v>149</v>
      </c>
      <c r="G990" s="184">
        <v>107501</v>
      </c>
      <c r="H990" s="184" t="s">
        <v>159</v>
      </c>
      <c r="I990" s="184" t="s">
        <v>337</v>
      </c>
      <c r="J990" s="184" t="s">
        <v>295</v>
      </c>
      <c r="K990" s="184" t="s">
        <v>353</v>
      </c>
      <c r="L990" s="185">
        <v>1</v>
      </c>
      <c r="M990" s="186">
        <v>92975.92</v>
      </c>
      <c r="N990" s="186">
        <v>0</v>
      </c>
      <c r="O990" s="125">
        <f t="shared" si="80"/>
        <v>92975.92</v>
      </c>
      <c r="P990" s="125"/>
      <c r="Q990" s="73">
        <f t="shared" si="79"/>
        <v>10608.552472000001</v>
      </c>
    </row>
    <row r="991" spans="1:17" ht="14.5" x14ac:dyDescent="0.35">
      <c r="A991" s="184" t="s">
        <v>155</v>
      </c>
      <c r="B991" s="184" t="s">
        <v>436</v>
      </c>
      <c r="C991" s="184" t="s">
        <v>228</v>
      </c>
      <c r="D991" s="185" t="s">
        <v>288</v>
      </c>
      <c r="E991" s="185">
        <v>50901</v>
      </c>
      <c r="F991" s="185" t="s">
        <v>149</v>
      </c>
      <c r="G991" s="184">
        <v>107501</v>
      </c>
      <c r="H991" s="184" t="s">
        <v>159</v>
      </c>
      <c r="I991" s="184" t="s">
        <v>337</v>
      </c>
      <c r="J991" s="184" t="s">
        <v>295</v>
      </c>
      <c r="K991" s="184" t="s">
        <v>354</v>
      </c>
      <c r="L991" s="185">
        <v>1</v>
      </c>
      <c r="M991" s="186">
        <v>118332.98</v>
      </c>
      <c r="N991" s="186">
        <v>0</v>
      </c>
      <c r="O991" s="125">
        <f t="shared" si="80"/>
        <v>118332.98</v>
      </c>
      <c r="P991" s="125"/>
      <c r="Q991" s="73">
        <f t="shared" si="79"/>
        <v>13501.793018</v>
      </c>
    </row>
    <row r="992" spans="1:17" ht="14.5" x14ac:dyDescent="0.35">
      <c r="A992" s="184" t="s">
        <v>155</v>
      </c>
      <c r="B992" s="184" t="s">
        <v>436</v>
      </c>
      <c r="C992" s="184" t="s">
        <v>228</v>
      </c>
      <c r="D992" s="185" t="s">
        <v>288</v>
      </c>
      <c r="E992" s="185">
        <v>50902</v>
      </c>
      <c r="F992" s="185" t="s">
        <v>149</v>
      </c>
      <c r="G992" s="184">
        <v>107501</v>
      </c>
      <c r="H992" s="184" t="s">
        <v>159</v>
      </c>
      <c r="I992" s="184" t="s">
        <v>337</v>
      </c>
      <c r="J992" s="184" t="s">
        <v>295</v>
      </c>
      <c r="K992" s="184" t="s">
        <v>355</v>
      </c>
      <c r="L992" s="185">
        <v>1</v>
      </c>
      <c r="M992" s="186">
        <v>84523.56</v>
      </c>
      <c r="N992" s="186">
        <v>0</v>
      </c>
      <c r="O992" s="125">
        <f t="shared" si="80"/>
        <v>84523.56</v>
      </c>
      <c r="P992" s="125"/>
      <c r="Q992" s="73">
        <f t="shared" si="79"/>
        <v>9644.1381959999999</v>
      </c>
    </row>
    <row r="993" spans="1:17" ht="14.5" x14ac:dyDescent="0.35">
      <c r="A993" s="184" t="s">
        <v>155</v>
      </c>
      <c r="B993" s="184" t="s">
        <v>436</v>
      </c>
      <c r="C993" s="184" t="s">
        <v>228</v>
      </c>
      <c r="D993" s="185" t="s">
        <v>288</v>
      </c>
      <c r="E993" s="185">
        <v>50903</v>
      </c>
      <c r="F993" s="185" t="s">
        <v>149</v>
      </c>
      <c r="G993" s="184">
        <v>107501</v>
      </c>
      <c r="H993" s="184" t="s">
        <v>159</v>
      </c>
      <c r="I993" s="184" t="s">
        <v>337</v>
      </c>
      <c r="J993" s="184" t="s">
        <v>295</v>
      </c>
      <c r="K993" s="184" t="s">
        <v>356</v>
      </c>
      <c r="L993" s="185">
        <v>1</v>
      </c>
      <c r="M993" s="186">
        <v>67618.850000000006</v>
      </c>
      <c r="N993" s="186">
        <v>0</v>
      </c>
      <c r="O993" s="125">
        <f t="shared" si="80"/>
        <v>67618.850000000006</v>
      </c>
      <c r="P993" s="125"/>
      <c r="Q993" s="73">
        <f t="shared" si="79"/>
        <v>7715.3107850000015</v>
      </c>
    </row>
    <row r="994" spans="1:17" ht="14.5" x14ac:dyDescent="0.35">
      <c r="A994" s="184" t="s">
        <v>155</v>
      </c>
      <c r="B994" s="184" t="s">
        <v>436</v>
      </c>
      <c r="C994" s="184" t="s">
        <v>228</v>
      </c>
      <c r="D994" s="185" t="s">
        <v>288</v>
      </c>
      <c r="E994" s="185">
        <v>50904</v>
      </c>
      <c r="F994" s="185" t="s">
        <v>149</v>
      </c>
      <c r="G994" s="184">
        <v>107501</v>
      </c>
      <c r="H994" s="184" t="s">
        <v>159</v>
      </c>
      <c r="I994" s="184" t="s">
        <v>337</v>
      </c>
      <c r="J994" s="184" t="s">
        <v>295</v>
      </c>
      <c r="K994" s="184" t="s">
        <v>357</v>
      </c>
      <c r="L994" s="185">
        <v>1</v>
      </c>
      <c r="M994" s="186">
        <v>76071.199999999997</v>
      </c>
      <c r="N994" s="186">
        <v>0</v>
      </c>
      <c r="O994" s="125">
        <f t="shared" si="80"/>
        <v>76071.199999999997</v>
      </c>
      <c r="P994" s="125"/>
      <c r="Q994" s="73">
        <f t="shared" si="79"/>
        <v>8679.7239200000004</v>
      </c>
    </row>
    <row r="995" spans="1:17" ht="14.5" x14ac:dyDescent="0.35">
      <c r="A995" s="184" t="s">
        <v>155</v>
      </c>
      <c r="B995" s="184" t="s">
        <v>436</v>
      </c>
      <c r="C995" s="184" t="s">
        <v>228</v>
      </c>
      <c r="D995" s="185" t="s">
        <v>288</v>
      </c>
      <c r="E995" s="185">
        <v>50905</v>
      </c>
      <c r="F995" s="185" t="s">
        <v>149</v>
      </c>
      <c r="G995" s="184">
        <v>107501</v>
      </c>
      <c r="H995" s="184" t="s">
        <v>159</v>
      </c>
      <c r="I995" s="184" t="s">
        <v>337</v>
      </c>
      <c r="J995" s="184" t="s">
        <v>295</v>
      </c>
      <c r="K995" s="184" t="s">
        <v>358</v>
      </c>
      <c r="L995" s="185">
        <v>1</v>
      </c>
      <c r="M995" s="186">
        <v>118332.98</v>
      </c>
      <c r="N995" s="186">
        <v>0</v>
      </c>
      <c r="O995" s="125">
        <f t="shared" si="80"/>
        <v>118332.98</v>
      </c>
      <c r="P995" s="125"/>
      <c r="Q995" s="73">
        <f t="shared" si="79"/>
        <v>13501.793018</v>
      </c>
    </row>
    <row r="996" spans="1:17" ht="14.5" x14ac:dyDescent="0.35">
      <c r="A996" s="184" t="s">
        <v>155</v>
      </c>
      <c r="B996" s="184" t="s">
        <v>436</v>
      </c>
      <c r="C996" s="184" t="s">
        <v>228</v>
      </c>
      <c r="D996" s="185" t="s">
        <v>288</v>
      </c>
      <c r="E996" s="185">
        <v>50906</v>
      </c>
      <c r="F996" s="185" t="s">
        <v>149</v>
      </c>
      <c r="G996" s="184">
        <v>107501</v>
      </c>
      <c r="H996" s="184" t="s">
        <v>159</v>
      </c>
      <c r="I996" s="184" t="s">
        <v>337</v>
      </c>
      <c r="J996" s="184" t="s">
        <v>295</v>
      </c>
      <c r="K996" s="184" t="s">
        <v>361</v>
      </c>
      <c r="L996" s="185">
        <v>1</v>
      </c>
      <c r="M996" s="186">
        <v>16904.71</v>
      </c>
      <c r="N996" s="186">
        <v>0</v>
      </c>
      <c r="O996" s="125">
        <f t="shared" si="80"/>
        <v>16904.71</v>
      </c>
      <c r="P996" s="125"/>
      <c r="Q996" s="73">
        <f t="shared" si="79"/>
        <v>1928.827411</v>
      </c>
    </row>
    <row r="997" spans="1:17" ht="14.5" x14ac:dyDescent="0.35">
      <c r="A997" s="184" t="s">
        <v>155</v>
      </c>
      <c r="B997" s="184" t="s">
        <v>436</v>
      </c>
      <c r="C997" s="184" t="s">
        <v>228</v>
      </c>
      <c r="D997" s="185" t="s">
        <v>288</v>
      </c>
      <c r="E997" s="185">
        <v>50907</v>
      </c>
      <c r="F997" s="185" t="s">
        <v>149</v>
      </c>
      <c r="G997" s="184">
        <v>107501</v>
      </c>
      <c r="H997" s="184" t="s">
        <v>159</v>
      </c>
      <c r="I997" s="184" t="s">
        <v>337</v>
      </c>
      <c r="J997" s="184" t="s">
        <v>295</v>
      </c>
      <c r="K997" s="184" t="s">
        <v>359</v>
      </c>
      <c r="L997" s="185">
        <v>1</v>
      </c>
      <c r="M997" s="186">
        <v>101428.27</v>
      </c>
      <c r="N997" s="186">
        <v>0</v>
      </c>
      <c r="O997" s="125">
        <f t="shared" si="80"/>
        <v>101428.27</v>
      </c>
      <c r="P997" s="125"/>
      <c r="Q997" s="73">
        <f t="shared" si="79"/>
        <v>11572.965607000002</v>
      </c>
    </row>
    <row r="998" spans="1:17" ht="14.5" x14ac:dyDescent="0.35">
      <c r="A998" s="184" t="s">
        <v>155</v>
      </c>
      <c r="B998" s="184" t="s">
        <v>436</v>
      </c>
      <c r="C998" s="184" t="s">
        <v>228</v>
      </c>
      <c r="D998" s="185" t="s">
        <v>288</v>
      </c>
      <c r="E998" s="185">
        <v>50908</v>
      </c>
      <c r="F998" s="185" t="s">
        <v>149</v>
      </c>
      <c r="G998" s="184">
        <v>107501</v>
      </c>
      <c r="H998" s="184" t="s">
        <v>159</v>
      </c>
      <c r="I998" s="184" t="s">
        <v>337</v>
      </c>
      <c r="J998" s="184" t="s">
        <v>295</v>
      </c>
      <c r="K998" s="184" t="s">
        <v>360</v>
      </c>
      <c r="L998" s="185">
        <v>1</v>
      </c>
      <c r="M998" s="186">
        <v>87801</v>
      </c>
      <c r="N998" s="186">
        <v>0</v>
      </c>
      <c r="O998" s="125">
        <f t="shared" si="80"/>
        <v>87801</v>
      </c>
      <c r="P998" s="125"/>
      <c r="Q998" s="73">
        <f t="shared" si="79"/>
        <v>10018.0941</v>
      </c>
    </row>
    <row r="999" spans="1:17" ht="14.5" x14ac:dyDescent="0.35">
      <c r="A999" s="184" t="s">
        <v>155</v>
      </c>
      <c r="B999" s="184" t="s">
        <v>436</v>
      </c>
      <c r="C999" s="184" t="s">
        <v>228</v>
      </c>
      <c r="D999" s="185" t="s">
        <v>288</v>
      </c>
      <c r="E999" s="185">
        <v>50909</v>
      </c>
      <c r="F999" s="185" t="s">
        <v>149</v>
      </c>
      <c r="G999" s="184">
        <v>107501</v>
      </c>
      <c r="H999" s="184" t="s">
        <v>159</v>
      </c>
      <c r="I999" s="184" t="s">
        <v>337</v>
      </c>
      <c r="J999" s="184" t="s">
        <v>295</v>
      </c>
      <c r="K999" s="184" t="s">
        <v>362</v>
      </c>
      <c r="L999" s="185">
        <v>1</v>
      </c>
      <c r="M999" s="186">
        <v>76071.199999999997</v>
      </c>
      <c r="N999" s="186">
        <v>0</v>
      </c>
      <c r="O999" s="125">
        <f t="shared" si="80"/>
        <v>76071.199999999997</v>
      </c>
      <c r="P999" s="125"/>
      <c r="Q999" s="73">
        <f t="shared" si="79"/>
        <v>8679.7239200000004</v>
      </c>
    </row>
    <row r="1000" spans="1:17" ht="14.5" x14ac:dyDescent="0.35">
      <c r="A1000" s="184" t="s">
        <v>155</v>
      </c>
      <c r="B1000" s="184" t="s">
        <v>436</v>
      </c>
      <c r="C1000" s="184" t="s">
        <v>228</v>
      </c>
      <c r="D1000" s="185" t="s">
        <v>288</v>
      </c>
      <c r="E1000" s="185">
        <v>50910</v>
      </c>
      <c r="F1000" s="185" t="s">
        <v>149</v>
      </c>
      <c r="G1000" s="184">
        <v>107501</v>
      </c>
      <c r="H1000" s="184" t="s">
        <v>159</v>
      </c>
      <c r="I1000" s="184" t="s">
        <v>337</v>
      </c>
      <c r="J1000" s="184" t="s">
        <v>295</v>
      </c>
      <c r="K1000" s="184" t="s">
        <v>363</v>
      </c>
      <c r="L1000" s="185">
        <v>1</v>
      </c>
      <c r="M1000" s="186">
        <v>92975.92</v>
      </c>
      <c r="N1000" s="186">
        <v>0</v>
      </c>
      <c r="O1000" s="125">
        <f t="shared" si="80"/>
        <v>92975.92</v>
      </c>
      <c r="P1000" s="125"/>
      <c r="Q1000" s="73">
        <f t="shared" si="79"/>
        <v>10608.552472000001</v>
      </c>
    </row>
    <row r="1001" spans="1:17" ht="14.5" x14ac:dyDescent="0.35">
      <c r="A1001" s="184" t="s">
        <v>155</v>
      </c>
      <c r="B1001" s="184" t="s">
        <v>436</v>
      </c>
      <c r="C1001" s="184" t="s">
        <v>228</v>
      </c>
      <c r="D1001" s="185" t="s">
        <v>288</v>
      </c>
      <c r="E1001" s="185">
        <v>50911</v>
      </c>
      <c r="F1001" s="185" t="s">
        <v>149</v>
      </c>
      <c r="G1001" s="184">
        <v>107501</v>
      </c>
      <c r="H1001" s="184" t="s">
        <v>159</v>
      </c>
      <c r="I1001" s="184" t="s">
        <v>337</v>
      </c>
      <c r="J1001" s="184" t="s">
        <v>295</v>
      </c>
      <c r="K1001" s="184" t="s">
        <v>364</v>
      </c>
      <c r="L1001" s="185">
        <v>1</v>
      </c>
      <c r="M1001" s="186">
        <v>169047.12</v>
      </c>
      <c r="N1001" s="186">
        <v>0</v>
      </c>
      <c r="O1001" s="125">
        <f t="shared" si="80"/>
        <v>169047.12</v>
      </c>
      <c r="P1001" s="125"/>
      <c r="Q1001" s="73">
        <f t="shared" si="79"/>
        <v>19288.276392</v>
      </c>
    </row>
    <row r="1002" spans="1:17" ht="14.5" x14ac:dyDescent="0.35">
      <c r="A1002" s="184" t="s">
        <v>155</v>
      </c>
      <c r="B1002" s="184" t="s">
        <v>436</v>
      </c>
      <c r="C1002" s="184" t="s">
        <v>228</v>
      </c>
      <c r="D1002" s="185" t="s">
        <v>288</v>
      </c>
      <c r="E1002" s="185">
        <v>50912</v>
      </c>
      <c r="F1002" s="185" t="s">
        <v>149</v>
      </c>
      <c r="G1002" s="184">
        <v>107501</v>
      </c>
      <c r="H1002" s="184" t="s">
        <v>159</v>
      </c>
      <c r="I1002" s="184" t="s">
        <v>337</v>
      </c>
      <c r="J1002" s="184" t="s">
        <v>295</v>
      </c>
      <c r="K1002" s="184" t="s">
        <v>365</v>
      </c>
      <c r="L1002" s="185">
        <v>1</v>
      </c>
      <c r="M1002" s="186">
        <v>92164.49</v>
      </c>
      <c r="N1002" s="186">
        <v>0</v>
      </c>
      <c r="O1002" s="125">
        <f t="shared" si="80"/>
        <v>92164.49</v>
      </c>
      <c r="P1002" s="125"/>
      <c r="Q1002" s="73">
        <f t="shared" si="79"/>
        <v>10515.968309</v>
      </c>
    </row>
    <row r="1003" spans="1:17" ht="14.5" x14ac:dyDescent="0.35">
      <c r="A1003" s="184" t="s">
        <v>155</v>
      </c>
      <c r="B1003" s="184" t="s">
        <v>436</v>
      </c>
      <c r="C1003" s="184" t="s">
        <v>228</v>
      </c>
      <c r="D1003" s="185" t="s">
        <v>288</v>
      </c>
      <c r="E1003" s="185">
        <v>50913</v>
      </c>
      <c r="F1003" s="185" t="s">
        <v>149</v>
      </c>
      <c r="G1003" s="184">
        <v>107501</v>
      </c>
      <c r="H1003" s="184" t="s">
        <v>159</v>
      </c>
      <c r="I1003" s="184" t="s">
        <v>337</v>
      </c>
      <c r="J1003" s="184" t="s">
        <v>295</v>
      </c>
      <c r="K1003" s="184" t="s">
        <v>366</v>
      </c>
      <c r="L1003" s="185">
        <v>1</v>
      </c>
      <c r="M1003" s="186">
        <v>152142.41</v>
      </c>
      <c r="N1003" s="186">
        <v>0</v>
      </c>
      <c r="O1003" s="125">
        <f t="shared" si="80"/>
        <v>152142.41</v>
      </c>
      <c r="P1003" s="125"/>
      <c r="Q1003" s="73">
        <f t="shared" si="79"/>
        <v>17359.448981000001</v>
      </c>
    </row>
    <row r="1004" spans="1:17" ht="14.5" x14ac:dyDescent="0.35">
      <c r="A1004" s="184" t="s">
        <v>155</v>
      </c>
      <c r="B1004" s="184" t="s">
        <v>436</v>
      </c>
      <c r="C1004" s="184" t="s">
        <v>228</v>
      </c>
      <c r="D1004" s="185" t="s">
        <v>288</v>
      </c>
      <c r="E1004" s="185">
        <v>50914</v>
      </c>
      <c r="F1004" s="185" t="s">
        <v>149</v>
      </c>
      <c r="G1004" s="184">
        <v>107501</v>
      </c>
      <c r="H1004" s="184" t="s">
        <v>159</v>
      </c>
      <c r="I1004" s="184" t="s">
        <v>337</v>
      </c>
      <c r="J1004" s="184" t="s">
        <v>295</v>
      </c>
      <c r="K1004" s="184" t="s">
        <v>367</v>
      </c>
      <c r="L1004" s="185">
        <v>1</v>
      </c>
      <c r="M1004" s="186">
        <v>59166.49</v>
      </c>
      <c r="N1004" s="186">
        <v>0</v>
      </c>
      <c r="O1004" s="125">
        <f t="shared" si="80"/>
        <v>59166.49</v>
      </c>
      <c r="P1004" s="125"/>
      <c r="Q1004" s="73">
        <f t="shared" si="79"/>
        <v>6750.8965090000002</v>
      </c>
    </row>
    <row r="1005" spans="1:17" ht="14.5" x14ac:dyDescent="0.35">
      <c r="A1005" s="184" t="s">
        <v>155</v>
      </c>
      <c r="B1005" s="184" t="s">
        <v>436</v>
      </c>
      <c r="C1005" s="184" t="s">
        <v>228</v>
      </c>
      <c r="D1005" s="185" t="s">
        <v>288</v>
      </c>
      <c r="E1005" s="185">
        <v>50915</v>
      </c>
      <c r="F1005" s="185" t="s">
        <v>149</v>
      </c>
      <c r="G1005" s="184">
        <v>107501</v>
      </c>
      <c r="H1005" s="184" t="s">
        <v>159</v>
      </c>
      <c r="I1005" s="184" t="s">
        <v>337</v>
      </c>
      <c r="J1005" s="184" t="s">
        <v>295</v>
      </c>
      <c r="K1005" s="184" t="s">
        <v>368</v>
      </c>
      <c r="L1005" s="185">
        <v>1</v>
      </c>
      <c r="M1005" s="186">
        <v>59166.49</v>
      </c>
      <c r="N1005" s="186">
        <v>0</v>
      </c>
      <c r="O1005" s="125">
        <f t="shared" si="80"/>
        <v>59166.49</v>
      </c>
      <c r="P1005" s="125"/>
      <c r="Q1005" s="73">
        <f t="shared" si="79"/>
        <v>6750.8965090000002</v>
      </c>
    </row>
    <row r="1006" spans="1:17" ht="14.5" x14ac:dyDescent="0.35">
      <c r="A1006" s="184" t="s">
        <v>155</v>
      </c>
      <c r="B1006" s="184" t="s">
        <v>436</v>
      </c>
      <c r="C1006" s="184" t="s">
        <v>228</v>
      </c>
      <c r="D1006" s="185" t="s">
        <v>288</v>
      </c>
      <c r="E1006" s="185">
        <v>50916</v>
      </c>
      <c r="F1006" s="185" t="s">
        <v>149</v>
      </c>
      <c r="G1006" s="184">
        <v>107501</v>
      </c>
      <c r="H1006" s="184" t="s">
        <v>159</v>
      </c>
      <c r="I1006" s="184" t="s">
        <v>337</v>
      </c>
      <c r="J1006" s="184" t="s">
        <v>295</v>
      </c>
      <c r="K1006" s="184" t="s">
        <v>352</v>
      </c>
      <c r="L1006" s="185">
        <v>1</v>
      </c>
      <c r="M1006" s="186">
        <v>89594.97</v>
      </c>
      <c r="N1006" s="186">
        <v>0</v>
      </c>
      <c r="O1006" s="125">
        <f t="shared" si="80"/>
        <v>89594.97</v>
      </c>
      <c r="P1006" s="125"/>
      <c r="Q1006" s="73">
        <f t="shared" si="79"/>
        <v>10222.786077000001</v>
      </c>
    </row>
    <row r="1007" spans="1:17" ht="14.5" x14ac:dyDescent="0.35">
      <c r="A1007" s="184" t="s">
        <v>155</v>
      </c>
      <c r="B1007" s="184" t="s">
        <v>436</v>
      </c>
      <c r="C1007" s="184" t="s">
        <v>228</v>
      </c>
      <c r="D1007" s="185" t="s">
        <v>288</v>
      </c>
      <c r="E1007" s="185">
        <v>50917</v>
      </c>
      <c r="F1007" s="185" t="s">
        <v>149</v>
      </c>
      <c r="G1007" s="184">
        <v>107501</v>
      </c>
      <c r="H1007" s="184" t="s">
        <v>159</v>
      </c>
      <c r="I1007" s="184" t="s">
        <v>337</v>
      </c>
      <c r="J1007" s="184" t="s">
        <v>295</v>
      </c>
      <c r="K1007" s="184" t="s">
        <v>369</v>
      </c>
      <c r="L1007" s="185">
        <v>1</v>
      </c>
      <c r="M1007" s="186">
        <v>72690.259999999995</v>
      </c>
      <c r="N1007" s="186">
        <v>0</v>
      </c>
      <c r="O1007" s="125">
        <f t="shared" si="80"/>
        <v>72690.259999999995</v>
      </c>
      <c r="P1007" s="125"/>
      <c r="Q1007" s="73">
        <f t="shared" si="79"/>
        <v>8293.9586660000004</v>
      </c>
    </row>
    <row r="1008" spans="1:17" ht="14.5" x14ac:dyDescent="0.35">
      <c r="A1008" s="184" t="s">
        <v>155</v>
      </c>
      <c r="B1008" s="184" t="s">
        <v>436</v>
      </c>
      <c r="C1008" s="184" t="s">
        <v>228</v>
      </c>
      <c r="D1008" s="185" t="s">
        <v>288</v>
      </c>
      <c r="E1008" s="185">
        <v>50918</v>
      </c>
      <c r="F1008" s="185" t="s">
        <v>149</v>
      </c>
      <c r="G1008" s="184">
        <v>107501</v>
      </c>
      <c r="H1008" s="184" t="s">
        <v>159</v>
      </c>
      <c r="I1008" s="184" t="s">
        <v>337</v>
      </c>
      <c r="J1008" s="184" t="s">
        <v>295</v>
      </c>
      <c r="K1008" s="184" t="s">
        <v>370</v>
      </c>
      <c r="L1008" s="185">
        <v>1</v>
      </c>
      <c r="M1008" s="186">
        <v>76071.199999999997</v>
      </c>
      <c r="N1008" s="186">
        <v>0</v>
      </c>
      <c r="O1008" s="125">
        <f t="shared" si="80"/>
        <v>76071.199999999997</v>
      </c>
      <c r="P1008" s="125"/>
      <c r="Q1008" s="73">
        <f t="shared" si="79"/>
        <v>8679.7239200000004</v>
      </c>
    </row>
    <row r="1009" spans="1:17" ht="14.5" x14ac:dyDescent="0.35">
      <c r="A1009" s="184" t="s">
        <v>155</v>
      </c>
      <c r="B1009" s="184" t="s">
        <v>436</v>
      </c>
      <c r="C1009" s="184" t="s">
        <v>228</v>
      </c>
      <c r="D1009" s="185" t="s">
        <v>288</v>
      </c>
      <c r="E1009" s="185">
        <v>50919</v>
      </c>
      <c r="F1009" s="185" t="s">
        <v>149</v>
      </c>
      <c r="G1009" s="184">
        <v>107501</v>
      </c>
      <c r="H1009" s="184" t="s">
        <v>159</v>
      </c>
      <c r="I1009" s="184" t="s">
        <v>337</v>
      </c>
      <c r="J1009" s="184" t="s">
        <v>295</v>
      </c>
      <c r="K1009" s="184" t="s">
        <v>371</v>
      </c>
      <c r="L1009" s="185">
        <v>1</v>
      </c>
      <c r="M1009" s="186">
        <v>196094.66</v>
      </c>
      <c r="N1009" s="186">
        <v>0</v>
      </c>
      <c r="O1009" s="125">
        <f t="shared" si="80"/>
        <v>196094.66</v>
      </c>
      <c r="P1009" s="125"/>
      <c r="Q1009" s="73">
        <f t="shared" si="79"/>
        <v>22374.400706</v>
      </c>
    </row>
    <row r="1010" spans="1:17" ht="14.5" x14ac:dyDescent="0.35">
      <c r="A1010" s="184" t="s">
        <v>155</v>
      </c>
      <c r="B1010" s="184" t="s">
        <v>436</v>
      </c>
      <c r="C1010" s="184" t="s">
        <v>228</v>
      </c>
      <c r="D1010" s="185" t="s">
        <v>288</v>
      </c>
      <c r="E1010" s="185">
        <v>50920</v>
      </c>
      <c r="F1010" s="185" t="s">
        <v>149</v>
      </c>
      <c r="G1010" s="184">
        <v>107501</v>
      </c>
      <c r="H1010" s="184" t="s">
        <v>159</v>
      </c>
      <c r="I1010" s="184" t="s">
        <v>337</v>
      </c>
      <c r="J1010" s="184" t="s">
        <v>295</v>
      </c>
      <c r="K1010" s="184" t="s">
        <v>372</v>
      </c>
      <c r="L1010" s="185">
        <v>1</v>
      </c>
      <c r="M1010" s="186">
        <v>98047.33</v>
      </c>
      <c r="N1010" s="186">
        <v>0</v>
      </c>
      <c r="O1010" s="125">
        <f t="shared" si="80"/>
        <v>98047.33</v>
      </c>
      <c r="P1010" s="125"/>
      <c r="Q1010" s="73">
        <f t="shared" si="79"/>
        <v>11187.200353</v>
      </c>
    </row>
    <row r="1011" spans="1:17" ht="14.5" x14ac:dyDescent="0.35">
      <c r="A1011" s="184" t="s">
        <v>155</v>
      </c>
      <c r="B1011" s="184" t="s">
        <v>436</v>
      </c>
      <c r="C1011" s="184" t="s">
        <v>228</v>
      </c>
      <c r="D1011" s="185" t="s">
        <v>288</v>
      </c>
      <c r="E1011" s="185">
        <v>50921</v>
      </c>
      <c r="F1011" s="185" t="s">
        <v>149</v>
      </c>
      <c r="G1011" s="184">
        <v>107501</v>
      </c>
      <c r="H1011" s="184" t="s">
        <v>159</v>
      </c>
      <c r="I1011" s="184" t="s">
        <v>337</v>
      </c>
      <c r="J1011" s="184" t="s">
        <v>295</v>
      </c>
      <c r="K1011" s="184" t="s">
        <v>373</v>
      </c>
      <c r="L1011" s="185">
        <v>1</v>
      </c>
      <c r="M1011" s="186">
        <v>92975.92</v>
      </c>
      <c r="N1011" s="186">
        <v>0</v>
      </c>
      <c r="O1011" s="125">
        <f t="shared" si="80"/>
        <v>92975.92</v>
      </c>
      <c r="P1011" s="125"/>
      <c r="Q1011" s="73">
        <f t="shared" si="79"/>
        <v>10608.552472000001</v>
      </c>
    </row>
    <row r="1012" spans="1:17" ht="14.5" x14ac:dyDescent="0.35">
      <c r="A1012" s="184" t="s">
        <v>155</v>
      </c>
      <c r="B1012" s="184" t="s">
        <v>436</v>
      </c>
      <c r="C1012" s="184" t="s">
        <v>228</v>
      </c>
      <c r="D1012" s="185" t="s">
        <v>288</v>
      </c>
      <c r="E1012" s="185">
        <v>50922</v>
      </c>
      <c r="F1012" s="185" t="s">
        <v>149</v>
      </c>
      <c r="G1012" s="184">
        <v>107501</v>
      </c>
      <c r="H1012" s="184" t="s">
        <v>159</v>
      </c>
      <c r="I1012" s="184" t="s">
        <v>337</v>
      </c>
      <c r="J1012" s="184" t="s">
        <v>295</v>
      </c>
      <c r="K1012" s="184" t="s">
        <v>351</v>
      </c>
      <c r="L1012" s="185">
        <v>1</v>
      </c>
      <c r="M1012" s="186">
        <v>131856.75</v>
      </c>
      <c r="N1012" s="186">
        <v>0</v>
      </c>
      <c r="O1012" s="125">
        <f t="shared" si="80"/>
        <v>131856.75</v>
      </c>
      <c r="P1012" s="125"/>
      <c r="Q1012" s="73">
        <f t="shared" si="79"/>
        <v>15044.855175000001</v>
      </c>
    </row>
    <row r="1013" spans="1:17" ht="14.5" x14ac:dyDescent="0.35">
      <c r="A1013" s="184" t="s">
        <v>155</v>
      </c>
      <c r="B1013" s="184" t="s">
        <v>436</v>
      </c>
      <c r="C1013" s="184" t="s">
        <v>228</v>
      </c>
      <c r="D1013" s="185" t="s">
        <v>288</v>
      </c>
      <c r="E1013" s="185">
        <v>50923</v>
      </c>
      <c r="F1013" s="185" t="s">
        <v>149</v>
      </c>
      <c r="G1013" s="184">
        <v>107501</v>
      </c>
      <c r="H1013" s="184" t="s">
        <v>159</v>
      </c>
      <c r="I1013" s="184" t="s">
        <v>337</v>
      </c>
      <c r="J1013" s="184" t="s">
        <v>295</v>
      </c>
      <c r="K1013" s="184" t="s">
        <v>374</v>
      </c>
      <c r="L1013" s="185">
        <v>1</v>
      </c>
      <c r="M1013" s="186">
        <v>59166.49</v>
      </c>
      <c r="N1013" s="186">
        <v>0</v>
      </c>
      <c r="O1013" s="125">
        <f t="shared" si="80"/>
        <v>59166.49</v>
      </c>
      <c r="P1013" s="125"/>
      <c r="Q1013" s="73">
        <f t="shared" si="79"/>
        <v>6750.8965090000002</v>
      </c>
    </row>
    <row r="1014" spans="1:17" ht="14.5" x14ac:dyDescent="0.35">
      <c r="A1014" s="184" t="s">
        <v>155</v>
      </c>
      <c r="B1014" s="184" t="s">
        <v>436</v>
      </c>
      <c r="C1014" s="184" t="s">
        <v>228</v>
      </c>
      <c r="D1014" s="185" t="s">
        <v>288</v>
      </c>
      <c r="E1014" s="185">
        <v>50924</v>
      </c>
      <c r="F1014" s="185" t="s">
        <v>149</v>
      </c>
      <c r="G1014" s="184">
        <v>107501</v>
      </c>
      <c r="H1014" s="184" t="s">
        <v>159</v>
      </c>
      <c r="I1014" s="184" t="s">
        <v>337</v>
      </c>
      <c r="J1014" s="184" t="s">
        <v>295</v>
      </c>
      <c r="K1014" s="184" t="s">
        <v>375</v>
      </c>
      <c r="L1014" s="185">
        <v>1</v>
      </c>
      <c r="M1014" s="186">
        <v>28255.02</v>
      </c>
      <c r="N1014" s="186">
        <v>0</v>
      </c>
      <c r="O1014" s="125">
        <f t="shared" si="80"/>
        <v>28255.02</v>
      </c>
      <c r="P1014" s="125"/>
      <c r="Q1014" s="73">
        <f t="shared" si="79"/>
        <v>3223.8977820000005</v>
      </c>
    </row>
    <row r="1015" spans="1:17" ht="14.5" x14ac:dyDescent="0.35">
      <c r="A1015" s="184" t="s">
        <v>155</v>
      </c>
      <c r="B1015" s="184" t="s">
        <v>436</v>
      </c>
      <c r="C1015" s="184" t="s">
        <v>228</v>
      </c>
      <c r="D1015" s="185" t="s">
        <v>288</v>
      </c>
      <c r="E1015" s="185">
        <v>50925</v>
      </c>
      <c r="F1015" s="185" t="s">
        <v>149</v>
      </c>
      <c r="G1015" s="184">
        <v>107504</v>
      </c>
      <c r="H1015" s="184" t="s">
        <v>320</v>
      </c>
      <c r="I1015" s="184" t="s">
        <v>337</v>
      </c>
      <c r="J1015" s="184" t="s">
        <v>295</v>
      </c>
      <c r="K1015" s="184" t="s">
        <v>423</v>
      </c>
      <c r="L1015" s="185">
        <v>1</v>
      </c>
      <c r="M1015" s="186">
        <v>28140.68</v>
      </c>
      <c r="N1015" s="186">
        <v>0</v>
      </c>
      <c r="O1015" s="125">
        <f t="shared" si="80"/>
        <v>28140.68</v>
      </c>
      <c r="P1015" s="125"/>
      <c r="Q1015" s="73">
        <f t="shared" si="79"/>
        <v>3210.8515880000004</v>
      </c>
    </row>
    <row r="1016" spans="1:17" ht="14.5" x14ac:dyDescent="0.35">
      <c r="A1016" s="184" t="s">
        <v>155</v>
      </c>
      <c r="B1016" s="184" t="s">
        <v>436</v>
      </c>
      <c r="C1016" s="184" t="s">
        <v>228</v>
      </c>
      <c r="D1016" s="185" t="s">
        <v>288</v>
      </c>
      <c r="E1016" s="185">
        <v>50927</v>
      </c>
      <c r="F1016" s="185" t="s">
        <v>149</v>
      </c>
      <c r="G1016" s="184">
        <v>107504</v>
      </c>
      <c r="H1016" s="184" t="s">
        <v>320</v>
      </c>
      <c r="I1016" s="184" t="s">
        <v>337</v>
      </c>
      <c r="J1016" s="184" t="s">
        <v>295</v>
      </c>
      <c r="K1016" s="184" t="s">
        <v>353</v>
      </c>
      <c r="L1016" s="185">
        <v>1</v>
      </c>
      <c r="M1016" s="186">
        <v>72685.440000000002</v>
      </c>
      <c r="N1016" s="186">
        <v>0</v>
      </c>
      <c r="O1016" s="125">
        <f t="shared" si="80"/>
        <v>72685.440000000002</v>
      </c>
      <c r="P1016" s="125"/>
      <c r="Q1016" s="73">
        <f t="shared" si="79"/>
        <v>8293.4087040000013</v>
      </c>
    </row>
    <row r="1017" spans="1:17" ht="14.5" x14ac:dyDescent="0.35">
      <c r="A1017" s="184" t="s">
        <v>155</v>
      </c>
      <c r="B1017" s="184" t="s">
        <v>436</v>
      </c>
      <c r="C1017" s="184" t="s">
        <v>228</v>
      </c>
      <c r="D1017" s="185" t="s">
        <v>288</v>
      </c>
      <c r="E1017" s="185">
        <v>50928</v>
      </c>
      <c r="F1017" s="185" t="s">
        <v>149</v>
      </c>
      <c r="G1017" s="184">
        <v>107504</v>
      </c>
      <c r="H1017" s="184" t="s">
        <v>320</v>
      </c>
      <c r="I1017" s="184" t="s">
        <v>337</v>
      </c>
      <c r="J1017" s="184" t="s">
        <v>295</v>
      </c>
      <c r="K1017" s="184" t="s">
        <v>354</v>
      </c>
      <c r="L1017" s="185">
        <v>1</v>
      </c>
      <c r="M1017" s="186">
        <v>92508.74</v>
      </c>
      <c r="N1017" s="186">
        <v>0</v>
      </c>
      <c r="O1017" s="125">
        <f t="shared" si="80"/>
        <v>92508.74</v>
      </c>
      <c r="P1017" s="125"/>
      <c r="Q1017" s="73">
        <f t="shared" si="79"/>
        <v>10555.247234000002</v>
      </c>
    </row>
    <row r="1018" spans="1:17" ht="14.5" x14ac:dyDescent="0.35">
      <c r="A1018" s="184" t="s">
        <v>155</v>
      </c>
      <c r="B1018" s="184" t="s">
        <v>436</v>
      </c>
      <c r="C1018" s="184" t="s">
        <v>228</v>
      </c>
      <c r="D1018" s="185" t="s">
        <v>288</v>
      </c>
      <c r="E1018" s="185">
        <v>50929</v>
      </c>
      <c r="F1018" s="185" t="s">
        <v>149</v>
      </c>
      <c r="G1018" s="184">
        <v>107504</v>
      </c>
      <c r="H1018" s="184" t="s">
        <v>320</v>
      </c>
      <c r="I1018" s="184" t="s">
        <v>337</v>
      </c>
      <c r="J1018" s="184" t="s">
        <v>295</v>
      </c>
      <c r="K1018" s="184" t="s">
        <v>355</v>
      </c>
      <c r="L1018" s="185">
        <v>1</v>
      </c>
      <c r="M1018" s="186">
        <v>66077.67</v>
      </c>
      <c r="N1018" s="186">
        <v>0</v>
      </c>
      <c r="O1018" s="125">
        <f t="shared" si="80"/>
        <v>66077.67</v>
      </c>
      <c r="P1018" s="125"/>
      <c r="Q1018" s="73">
        <f t="shared" si="79"/>
        <v>7539.4621470000002</v>
      </c>
    </row>
    <row r="1019" spans="1:17" ht="14.5" x14ac:dyDescent="0.35">
      <c r="A1019" s="184" t="s">
        <v>155</v>
      </c>
      <c r="B1019" s="184" t="s">
        <v>436</v>
      </c>
      <c r="C1019" s="184" t="s">
        <v>228</v>
      </c>
      <c r="D1019" s="185" t="s">
        <v>288</v>
      </c>
      <c r="E1019" s="185">
        <v>50930</v>
      </c>
      <c r="F1019" s="185" t="s">
        <v>149</v>
      </c>
      <c r="G1019" s="184">
        <v>107504</v>
      </c>
      <c r="H1019" s="184" t="s">
        <v>320</v>
      </c>
      <c r="I1019" s="184" t="s">
        <v>337</v>
      </c>
      <c r="J1019" s="184" t="s">
        <v>295</v>
      </c>
      <c r="K1019" s="184" t="s">
        <v>356</v>
      </c>
      <c r="L1019" s="185">
        <v>1</v>
      </c>
      <c r="M1019" s="186">
        <v>52862.14</v>
      </c>
      <c r="N1019" s="186">
        <v>0</v>
      </c>
      <c r="O1019" s="125">
        <f t="shared" si="80"/>
        <v>52862.14</v>
      </c>
      <c r="P1019" s="125"/>
      <c r="Q1019" s="73">
        <f t="shared" si="79"/>
        <v>6031.5701740000004</v>
      </c>
    </row>
    <row r="1020" spans="1:17" ht="14.5" x14ac:dyDescent="0.35">
      <c r="A1020" s="184" t="s">
        <v>155</v>
      </c>
      <c r="B1020" s="184" t="s">
        <v>436</v>
      </c>
      <c r="C1020" s="184" t="s">
        <v>228</v>
      </c>
      <c r="D1020" s="185" t="s">
        <v>288</v>
      </c>
      <c r="E1020" s="185">
        <v>50931</v>
      </c>
      <c r="F1020" s="185" t="s">
        <v>149</v>
      </c>
      <c r="G1020" s="184">
        <v>107504</v>
      </c>
      <c r="H1020" s="184" t="s">
        <v>320</v>
      </c>
      <c r="I1020" s="184" t="s">
        <v>337</v>
      </c>
      <c r="J1020" s="184" t="s">
        <v>295</v>
      </c>
      <c r="K1020" s="184" t="s">
        <v>357</v>
      </c>
      <c r="L1020" s="185">
        <v>1</v>
      </c>
      <c r="M1020" s="186">
        <v>59469.91</v>
      </c>
      <c r="N1020" s="186">
        <v>0</v>
      </c>
      <c r="O1020" s="125">
        <f t="shared" si="80"/>
        <v>59469.91</v>
      </c>
      <c r="P1020" s="125"/>
      <c r="Q1020" s="73">
        <f t="shared" si="79"/>
        <v>6785.5167310000015</v>
      </c>
    </row>
    <row r="1021" spans="1:17" ht="14.5" x14ac:dyDescent="0.35">
      <c r="A1021" s="184" t="s">
        <v>155</v>
      </c>
      <c r="B1021" s="184" t="s">
        <v>436</v>
      </c>
      <c r="C1021" s="184" t="s">
        <v>228</v>
      </c>
      <c r="D1021" s="185" t="s">
        <v>288</v>
      </c>
      <c r="E1021" s="185">
        <v>50932</v>
      </c>
      <c r="F1021" s="185" t="s">
        <v>149</v>
      </c>
      <c r="G1021" s="184">
        <v>107504</v>
      </c>
      <c r="H1021" s="184" t="s">
        <v>320</v>
      </c>
      <c r="I1021" s="184" t="s">
        <v>337</v>
      </c>
      <c r="J1021" s="184" t="s">
        <v>295</v>
      </c>
      <c r="K1021" s="184" t="s">
        <v>358</v>
      </c>
      <c r="L1021" s="185">
        <v>1</v>
      </c>
      <c r="M1021" s="186">
        <v>92508.74</v>
      </c>
      <c r="N1021" s="186">
        <v>0</v>
      </c>
      <c r="O1021" s="125">
        <f t="shared" si="80"/>
        <v>92508.74</v>
      </c>
      <c r="P1021" s="125"/>
      <c r="Q1021" s="73">
        <f t="shared" si="79"/>
        <v>10555.247234000002</v>
      </c>
    </row>
    <row r="1022" spans="1:17" ht="14.5" x14ac:dyDescent="0.35">
      <c r="A1022" s="184" t="s">
        <v>155</v>
      </c>
      <c r="B1022" s="184" t="s">
        <v>436</v>
      </c>
      <c r="C1022" s="184" t="s">
        <v>228</v>
      </c>
      <c r="D1022" s="185" t="s">
        <v>288</v>
      </c>
      <c r="E1022" s="185">
        <v>50933</v>
      </c>
      <c r="F1022" s="185" t="s">
        <v>149</v>
      </c>
      <c r="G1022" s="184">
        <v>107504</v>
      </c>
      <c r="H1022" s="184" t="s">
        <v>320</v>
      </c>
      <c r="I1022" s="184" t="s">
        <v>337</v>
      </c>
      <c r="J1022" s="184" t="s">
        <v>295</v>
      </c>
      <c r="K1022" s="184" t="s">
        <v>361</v>
      </c>
      <c r="L1022" s="185">
        <v>1</v>
      </c>
      <c r="M1022" s="186">
        <v>13215.53</v>
      </c>
      <c r="N1022" s="186">
        <v>0</v>
      </c>
      <c r="O1022" s="125">
        <f t="shared" si="80"/>
        <v>13215.53</v>
      </c>
      <c r="P1022" s="125"/>
      <c r="Q1022" s="73">
        <f t="shared" si="79"/>
        <v>1507.8919730000002</v>
      </c>
    </row>
    <row r="1023" spans="1:17" ht="14.5" x14ac:dyDescent="0.35">
      <c r="A1023" s="184" t="s">
        <v>155</v>
      </c>
      <c r="B1023" s="184" t="s">
        <v>436</v>
      </c>
      <c r="C1023" s="184" t="s">
        <v>228</v>
      </c>
      <c r="D1023" s="185" t="s">
        <v>288</v>
      </c>
      <c r="E1023" s="185">
        <v>50934</v>
      </c>
      <c r="F1023" s="185" t="s">
        <v>149</v>
      </c>
      <c r="G1023" s="184">
        <v>107504</v>
      </c>
      <c r="H1023" s="184" t="s">
        <v>320</v>
      </c>
      <c r="I1023" s="184" t="s">
        <v>337</v>
      </c>
      <c r="J1023" s="184" t="s">
        <v>295</v>
      </c>
      <c r="K1023" s="184" t="s">
        <v>359</v>
      </c>
      <c r="L1023" s="185">
        <v>1</v>
      </c>
      <c r="M1023" s="186">
        <v>79293.210000000006</v>
      </c>
      <c r="N1023" s="186">
        <v>0</v>
      </c>
      <c r="O1023" s="125">
        <f t="shared" si="80"/>
        <v>79293.210000000006</v>
      </c>
      <c r="P1023" s="125"/>
      <c r="Q1023" s="73">
        <f t="shared" si="79"/>
        <v>9047.3552610000006</v>
      </c>
    </row>
    <row r="1024" spans="1:17" ht="14.5" x14ac:dyDescent="0.35">
      <c r="A1024" s="184" t="s">
        <v>155</v>
      </c>
      <c r="B1024" s="184" t="s">
        <v>436</v>
      </c>
      <c r="C1024" s="184" t="s">
        <v>228</v>
      </c>
      <c r="D1024" s="185" t="s">
        <v>288</v>
      </c>
      <c r="E1024" s="185">
        <v>50935</v>
      </c>
      <c r="F1024" s="185" t="s">
        <v>149</v>
      </c>
      <c r="G1024" s="184">
        <v>107504</v>
      </c>
      <c r="H1024" s="184" t="s">
        <v>320</v>
      </c>
      <c r="I1024" s="184" t="s">
        <v>337</v>
      </c>
      <c r="J1024" s="184" t="s">
        <v>295</v>
      </c>
      <c r="K1024" s="184" t="s">
        <v>360</v>
      </c>
      <c r="L1024" s="185">
        <v>1</v>
      </c>
      <c r="M1024" s="186">
        <v>59469.91</v>
      </c>
      <c r="N1024" s="186">
        <v>0</v>
      </c>
      <c r="O1024" s="125">
        <f t="shared" si="80"/>
        <v>59469.91</v>
      </c>
      <c r="P1024" s="125"/>
      <c r="Q1024" s="73">
        <f t="shared" si="79"/>
        <v>6785.5167310000015</v>
      </c>
    </row>
    <row r="1025" spans="1:17" ht="14.5" x14ac:dyDescent="0.35">
      <c r="A1025" s="184" t="s">
        <v>155</v>
      </c>
      <c r="B1025" s="184" t="s">
        <v>436</v>
      </c>
      <c r="C1025" s="184" t="s">
        <v>228</v>
      </c>
      <c r="D1025" s="185" t="s">
        <v>288</v>
      </c>
      <c r="E1025" s="185">
        <v>50936</v>
      </c>
      <c r="F1025" s="185" t="s">
        <v>149</v>
      </c>
      <c r="G1025" s="184">
        <v>107504</v>
      </c>
      <c r="H1025" s="184" t="s">
        <v>320</v>
      </c>
      <c r="I1025" s="184" t="s">
        <v>337</v>
      </c>
      <c r="J1025" s="184" t="s">
        <v>295</v>
      </c>
      <c r="K1025" s="184" t="s">
        <v>362</v>
      </c>
      <c r="L1025" s="185">
        <v>1</v>
      </c>
      <c r="M1025" s="186">
        <v>59469.91</v>
      </c>
      <c r="N1025" s="186">
        <v>0</v>
      </c>
      <c r="O1025" s="125">
        <f t="shared" si="80"/>
        <v>59469.91</v>
      </c>
      <c r="P1025" s="125"/>
      <c r="Q1025" s="73">
        <f t="shared" si="79"/>
        <v>6785.5167310000015</v>
      </c>
    </row>
    <row r="1026" spans="1:17" ht="14.5" x14ac:dyDescent="0.35">
      <c r="A1026" s="184" t="s">
        <v>155</v>
      </c>
      <c r="B1026" s="184" t="s">
        <v>436</v>
      </c>
      <c r="C1026" s="184" t="s">
        <v>228</v>
      </c>
      <c r="D1026" s="185" t="s">
        <v>288</v>
      </c>
      <c r="E1026" s="185">
        <v>50937</v>
      </c>
      <c r="F1026" s="185" t="s">
        <v>149</v>
      </c>
      <c r="G1026" s="184">
        <v>107504</v>
      </c>
      <c r="H1026" s="184" t="s">
        <v>320</v>
      </c>
      <c r="I1026" s="184" t="s">
        <v>337</v>
      </c>
      <c r="J1026" s="184" t="s">
        <v>295</v>
      </c>
      <c r="K1026" s="184" t="s">
        <v>363</v>
      </c>
      <c r="L1026" s="185">
        <v>1</v>
      </c>
      <c r="M1026" s="186">
        <v>72685.440000000002</v>
      </c>
      <c r="N1026" s="186">
        <v>0</v>
      </c>
      <c r="O1026" s="125">
        <f t="shared" si="80"/>
        <v>72685.440000000002</v>
      </c>
      <c r="P1026" s="125"/>
      <c r="Q1026" s="73">
        <f t="shared" si="79"/>
        <v>8293.4087040000013</v>
      </c>
    </row>
    <row r="1027" spans="1:17" ht="14.5" x14ac:dyDescent="0.35">
      <c r="A1027" s="184" t="s">
        <v>155</v>
      </c>
      <c r="B1027" s="184" t="s">
        <v>436</v>
      </c>
      <c r="C1027" s="184" t="s">
        <v>228</v>
      </c>
      <c r="D1027" s="185" t="s">
        <v>288</v>
      </c>
      <c r="E1027" s="185">
        <v>50938</v>
      </c>
      <c r="F1027" s="185" t="s">
        <v>149</v>
      </c>
      <c r="G1027" s="184">
        <v>107504</v>
      </c>
      <c r="H1027" s="184" t="s">
        <v>320</v>
      </c>
      <c r="I1027" s="184" t="s">
        <v>337</v>
      </c>
      <c r="J1027" s="184" t="s">
        <v>295</v>
      </c>
      <c r="K1027" s="184" t="s">
        <v>364</v>
      </c>
      <c r="L1027" s="185">
        <v>1</v>
      </c>
      <c r="M1027" s="186">
        <v>132155.35</v>
      </c>
      <c r="N1027" s="186">
        <v>0</v>
      </c>
      <c r="O1027" s="125">
        <f t="shared" si="80"/>
        <v>132155.35</v>
      </c>
      <c r="P1027" s="125"/>
      <c r="Q1027" s="73">
        <f t="shared" ref="Q1027:Q1040" si="81">M1027*$Q$7*1.141</f>
        <v>15078.925435000003</v>
      </c>
    </row>
    <row r="1028" spans="1:17" ht="14.5" x14ac:dyDescent="0.35">
      <c r="A1028" s="184" t="s">
        <v>155</v>
      </c>
      <c r="B1028" s="184" t="s">
        <v>436</v>
      </c>
      <c r="C1028" s="184" t="s">
        <v>228</v>
      </c>
      <c r="D1028" s="185" t="s">
        <v>288</v>
      </c>
      <c r="E1028" s="185">
        <v>50939</v>
      </c>
      <c r="F1028" s="185" t="s">
        <v>149</v>
      </c>
      <c r="G1028" s="184">
        <v>107504</v>
      </c>
      <c r="H1028" s="184" t="s">
        <v>320</v>
      </c>
      <c r="I1028" s="184" t="s">
        <v>337</v>
      </c>
      <c r="J1028" s="184" t="s">
        <v>295</v>
      </c>
      <c r="K1028" s="184" t="s">
        <v>365</v>
      </c>
      <c r="L1028" s="185">
        <v>1</v>
      </c>
      <c r="M1028" s="186">
        <v>72051.100000000006</v>
      </c>
      <c r="N1028" s="186">
        <v>0</v>
      </c>
      <c r="O1028" s="125">
        <f t="shared" si="80"/>
        <v>72051.100000000006</v>
      </c>
      <c r="P1028" s="125"/>
      <c r="Q1028" s="73">
        <f t="shared" si="81"/>
        <v>8221.0305100000005</v>
      </c>
    </row>
    <row r="1029" spans="1:17" ht="14.5" x14ac:dyDescent="0.35">
      <c r="A1029" s="184" t="s">
        <v>155</v>
      </c>
      <c r="B1029" s="184" t="s">
        <v>436</v>
      </c>
      <c r="C1029" s="184" t="s">
        <v>228</v>
      </c>
      <c r="D1029" s="185" t="s">
        <v>288</v>
      </c>
      <c r="E1029" s="185">
        <v>50940</v>
      </c>
      <c r="F1029" s="185" t="s">
        <v>149</v>
      </c>
      <c r="G1029" s="184">
        <v>107504</v>
      </c>
      <c r="H1029" s="184" t="s">
        <v>320</v>
      </c>
      <c r="I1029" s="184" t="s">
        <v>337</v>
      </c>
      <c r="J1029" s="184" t="s">
        <v>295</v>
      </c>
      <c r="K1029" s="184" t="s">
        <v>366</v>
      </c>
      <c r="L1029" s="185">
        <v>1</v>
      </c>
      <c r="M1029" s="186">
        <v>118939.81</v>
      </c>
      <c r="N1029" s="186">
        <v>0</v>
      </c>
      <c r="O1029" s="125">
        <f t="shared" si="80"/>
        <v>118939.81</v>
      </c>
      <c r="P1029" s="125"/>
      <c r="Q1029" s="73">
        <f t="shared" si="81"/>
        <v>13571.032321000001</v>
      </c>
    </row>
    <row r="1030" spans="1:17" ht="14.5" x14ac:dyDescent="0.35">
      <c r="A1030" s="184" t="s">
        <v>155</v>
      </c>
      <c r="B1030" s="184" t="s">
        <v>436</v>
      </c>
      <c r="C1030" s="184" t="s">
        <v>228</v>
      </c>
      <c r="D1030" s="185" t="s">
        <v>288</v>
      </c>
      <c r="E1030" s="185">
        <v>50941</v>
      </c>
      <c r="F1030" s="185" t="s">
        <v>149</v>
      </c>
      <c r="G1030" s="184">
        <v>107504</v>
      </c>
      <c r="H1030" s="184" t="s">
        <v>320</v>
      </c>
      <c r="I1030" s="184" t="s">
        <v>337</v>
      </c>
      <c r="J1030" s="184" t="s">
        <v>295</v>
      </c>
      <c r="K1030" s="184" t="s">
        <v>367</v>
      </c>
      <c r="L1030" s="185">
        <v>1</v>
      </c>
      <c r="M1030" s="186">
        <v>46254.37</v>
      </c>
      <c r="N1030" s="186">
        <v>0</v>
      </c>
      <c r="O1030" s="125">
        <f t="shared" si="80"/>
        <v>46254.37</v>
      </c>
      <c r="P1030" s="125"/>
      <c r="Q1030" s="73">
        <f t="shared" si="81"/>
        <v>5277.6236170000011</v>
      </c>
    </row>
    <row r="1031" spans="1:17" ht="14.5" x14ac:dyDescent="0.35">
      <c r="A1031" s="184" t="s">
        <v>155</v>
      </c>
      <c r="B1031" s="184" t="s">
        <v>436</v>
      </c>
      <c r="C1031" s="184" t="s">
        <v>228</v>
      </c>
      <c r="D1031" s="185" t="s">
        <v>288</v>
      </c>
      <c r="E1031" s="185">
        <v>50942</v>
      </c>
      <c r="F1031" s="185" t="s">
        <v>149</v>
      </c>
      <c r="G1031" s="184">
        <v>107504</v>
      </c>
      <c r="H1031" s="184" t="s">
        <v>320</v>
      </c>
      <c r="I1031" s="184" t="s">
        <v>337</v>
      </c>
      <c r="J1031" s="184" t="s">
        <v>295</v>
      </c>
      <c r="K1031" s="184" t="s">
        <v>368</v>
      </c>
      <c r="L1031" s="185">
        <v>1</v>
      </c>
      <c r="M1031" s="186">
        <v>46254.37</v>
      </c>
      <c r="N1031" s="186">
        <v>0</v>
      </c>
      <c r="O1031" s="125">
        <f t="shared" si="80"/>
        <v>46254.37</v>
      </c>
      <c r="P1031" s="125"/>
      <c r="Q1031" s="73">
        <f t="shared" si="81"/>
        <v>5277.6236170000011</v>
      </c>
    </row>
    <row r="1032" spans="1:17" ht="14.5" x14ac:dyDescent="0.35">
      <c r="A1032" s="184" t="s">
        <v>155</v>
      </c>
      <c r="B1032" s="184" t="s">
        <v>436</v>
      </c>
      <c r="C1032" s="184" t="s">
        <v>228</v>
      </c>
      <c r="D1032" s="185" t="s">
        <v>288</v>
      </c>
      <c r="E1032" s="185">
        <v>50943</v>
      </c>
      <c r="F1032" s="185" t="s">
        <v>149</v>
      </c>
      <c r="G1032" s="184">
        <v>107504</v>
      </c>
      <c r="H1032" s="184" t="s">
        <v>320</v>
      </c>
      <c r="I1032" s="184" t="s">
        <v>337</v>
      </c>
      <c r="J1032" s="184" t="s">
        <v>295</v>
      </c>
      <c r="K1032" s="184" t="s">
        <v>352</v>
      </c>
      <c r="L1032" s="185">
        <v>1</v>
      </c>
      <c r="M1032" s="186">
        <v>70042.33</v>
      </c>
      <c r="N1032" s="186">
        <v>0</v>
      </c>
      <c r="O1032" s="125">
        <f t="shared" ref="O1032:O1095" si="82">M1032-N1032</f>
        <v>70042.33</v>
      </c>
      <c r="P1032" s="125"/>
      <c r="Q1032" s="73">
        <f t="shared" si="81"/>
        <v>7991.8298530000002</v>
      </c>
    </row>
    <row r="1033" spans="1:17" ht="14.5" x14ac:dyDescent="0.35">
      <c r="A1033" s="184" t="s">
        <v>155</v>
      </c>
      <c r="B1033" s="184" t="s">
        <v>436</v>
      </c>
      <c r="C1033" s="184" t="s">
        <v>228</v>
      </c>
      <c r="D1033" s="185" t="s">
        <v>288</v>
      </c>
      <c r="E1033" s="185">
        <v>50944</v>
      </c>
      <c r="F1033" s="185" t="s">
        <v>149</v>
      </c>
      <c r="G1033" s="184">
        <v>107504</v>
      </c>
      <c r="H1033" s="184" t="s">
        <v>320</v>
      </c>
      <c r="I1033" s="184" t="s">
        <v>337</v>
      </c>
      <c r="J1033" s="184" t="s">
        <v>295</v>
      </c>
      <c r="K1033" s="184" t="s">
        <v>369</v>
      </c>
      <c r="L1033" s="185">
        <v>1</v>
      </c>
      <c r="M1033" s="186">
        <v>56826.8</v>
      </c>
      <c r="N1033" s="186">
        <v>0</v>
      </c>
      <c r="O1033" s="125">
        <f t="shared" si="82"/>
        <v>56826.8</v>
      </c>
      <c r="P1033" s="125"/>
      <c r="Q1033" s="73">
        <f t="shared" si="81"/>
        <v>6483.9378800000004</v>
      </c>
    </row>
    <row r="1034" spans="1:17" ht="14.5" x14ac:dyDescent="0.35">
      <c r="A1034" s="184" t="s">
        <v>155</v>
      </c>
      <c r="B1034" s="184" t="s">
        <v>436</v>
      </c>
      <c r="C1034" s="184" t="s">
        <v>228</v>
      </c>
      <c r="D1034" s="185" t="s">
        <v>288</v>
      </c>
      <c r="E1034" s="185">
        <v>50945</v>
      </c>
      <c r="F1034" s="185" t="s">
        <v>149</v>
      </c>
      <c r="G1034" s="184">
        <v>107504</v>
      </c>
      <c r="H1034" s="184" t="s">
        <v>320</v>
      </c>
      <c r="I1034" s="184" t="s">
        <v>337</v>
      </c>
      <c r="J1034" s="184" t="s">
        <v>295</v>
      </c>
      <c r="K1034" s="184" t="s">
        <v>370</v>
      </c>
      <c r="L1034" s="185">
        <v>1</v>
      </c>
      <c r="M1034" s="186">
        <v>59469.91</v>
      </c>
      <c r="N1034" s="186">
        <v>0</v>
      </c>
      <c r="O1034" s="125">
        <f t="shared" si="82"/>
        <v>59469.91</v>
      </c>
      <c r="P1034" s="125"/>
      <c r="Q1034" s="73">
        <f t="shared" si="81"/>
        <v>6785.5167310000015</v>
      </c>
    </row>
    <row r="1035" spans="1:17" ht="14.5" x14ac:dyDescent="0.35">
      <c r="A1035" s="184" t="s">
        <v>155</v>
      </c>
      <c r="B1035" s="184" t="s">
        <v>436</v>
      </c>
      <c r="C1035" s="184" t="s">
        <v>228</v>
      </c>
      <c r="D1035" s="185" t="s">
        <v>288</v>
      </c>
      <c r="E1035" s="185">
        <v>50946</v>
      </c>
      <c r="F1035" s="185" t="s">
        <v>149</v>
      </c>
      <c r="G1035" s="184">
        <v>107504</v>
      </c>
      <c r="H1035" s="184" t="s">
        <v>320</v>
      </c>
      <c r="I1035" s="184" t="s">
        <v>337</v>
      </c>
      <c r="J1035" s="184" t="s">
        <v>295</v>
      </c>
      <c r="K1035" s="184" t="s">
        <v>371</v>
      </c>
      <c r="L1035" s="185">
        <v>1</v>
      </c>
      <c r="M1035" s="186">
        <v>153300.20000000001</v>
      </c>
      <c r="N1035" s="186">
        <v>0</v>
      </c>
      <c r="O1035" s="125">
        <f t="shared" si="82"/>
        <v>153300.20000000001</v>
      </c>
      <c r="P1035" s="125"/>
      <c r="Q1035" s="73">
        <f t="shared" si="81"/>
        <v>17491.552820000004</v>
      </c>
    </row>
    <row r="1036" spans="1:17" ht="14.5" x14ac:dyDescent="0.35">
      <c r="A1036" s="184" t="s">
        <v>155</v>
      </c>
      <c r="B1036" s="184" t="s">
        <v>436</v>
      </c>
      <c r="C1036" s="184" t="s">
        <v>228</v>
      </c>
      <c r="D1036" s="185" t="s">
        <v>288</v>
      </c>
      <c r="E1036" s="185">
        <v>50947</v>
      </c>
      <c r="F1036" s="185" t="s">
        <v>149</v>
      </c>
      <c r="G1036" s="184">
        <v>107504</v>
      </c>
      <c r="H1036" s="184" t="s">
        <v>320</v>
      </c>
      <c r="I1036" s="184" t="s">
        <v>337</v>
      </c>
      <c r="J1036" s="184" t="s">
        <v>295</v>
      </c>
      <c r="K1036" s="184" t="s">
        <v>372</v>
      </c>
      <c r="L1036" s="185">
        <v>1</v>
      </c>
      <c r="M1036" s="186">
        <v>76650.100000000006</v>
      </c>
      <c r="N1036" s="186">
        <v>0</v>
      </c>
      <c r="O1036" s="125">
        <f t="shared" si="82"/>
        <v>76650.100000000006</v>
      </c>
      <c r="P1036" s="125"/>
      <c r="Q1036" s="73">
        <f t="shared" si="81"/>
        <v>8745.7764100000022</v>
      </c>
    </row>
    <row r="1037" spans="1:17" ht="14.5" x14ac:dyDescent="0.35">
      <c r="A1037" s="184" t="s">
        <v>155</v>
      </c>
      <c r="B1037" s="184" t="s">
        <v>436</v>
      </c>
      <c r="C1037" s="184" t="s">
        <v>228</v>
      </c>
      <c r="D1037" s="185" t="s">
        <v>288</v>
      </c>
      <c r="E1037" s="185">
        <v>50948</v>
      </c>
      <c r="F1037" s="185" t="s">
        <v>149</v>
      </c>
      <c r="G1037" s="184">
        <v>107504</v>
      </c>
      <c r="H1037" s="184" t="s">
        <v>320</v>
      </c>
      <c r="I1037" s="184" t="s">
        <v>337</v>
      </c>
      <c r="J1037" s="184" t="s">
        <v>295</v>
      </c>
      <c r="K1037" s="184" t="s">
        <v>373</v>
      </c>
      <c r="L1037" s="185">
        <v>1</v>
      </c>
      <c r="M1037" s="186">
        <v>72685.440000000002</v>
      </c>
      <c r="N1037" s="186">
        <v>0</v>
      </c>
      <c r="O1037" s="125">
        <f t="shared" si="82"/>
        <v>72685.440000000002</v>
      </c>
      <c r="P1037" s="125"/>
      <c r="Q1037" s="73">
        <f t="shared" si="81"/>
        <v>8293.4087040000013</v>
      </c>
    </row>
    <row r="1038" spans="1:17" ht="14.5" x14ac:dyDescent="0.35">
      <c r="A1038" s="184" t="s">
        <v>155</v>
      </c>
      <c r="B1038" s="184" t="s">
        <v>436</v>
      </c>
      <c r="C1038" s="184" t="s">
        <v>228</v>
      </c>
      <c r="D1038" s="185" t="s">
        <v>288</v>
      </c>
      <c r="E1038" s="185">
        <v>50949</v>
      </c>
      <c r="F1038" s="185" t="s">
        <v>149</v>
      </c>
      <c r="G1038" s="184">
        <v>107504</v>
      </c>
      <c r="H1038" s="184" t="s">
        <v>320</v>
      </c>
      <c r="I1038" s="184" t="s">
        <v>337</v>
      </c>
      <c r="J1038" s="184" t="s">
        <v>295</v>
      </c>
      <c r="K1038" s="184" t="s">
        <v>351</v>
      </c>
      <c r="L1038" s="185">
        <v>1</v>
      </c>
      <c r="M1038" s="186">
        <v>103081.17</v>
      </c>
      <c r="N1038" s="186">
        <v>0</v>
      </c>
      <c r="O1038" s="125">
        <f t="shared" si="82"/>
        <v>103081.17</v>
      </c>
      <c r="P1038" s="125"/>
      <c r="Q1038" s="73">
        <f t="shared" si="81"/>
        <v>11761.561497000001</v>
      </c>
    </row>
    <row r="1039" spans="1:17" ht="14.5" x14ac:dyDescent="0.35">
      <c r="A1039" s="184" t="s">
        <v>155</v>
      </c>
      <c r="B1039" s="184" t="s">
        <v>436</v>
      </c>
      <c r="C1039" s="184" t="s">
        <v>228</v>
      </c>
      <c r="D1039" s="185" t="s">
        <v>288</v>
      </c>
      <c r="E1039" s="185">
        <v>50950</v>
      </c>
      <c r="F1039" s="185" t="s">
        <v>149</v>
      </c>
      <c r="G1039" s="184">
        <v>107504</v>
      </c>
      <c r="H1039" s="184" t="s">
        <v>320</v>
      </c>
      <c r="I1039" s="184" t="s">
        <v>337</v>
      </c>
      <c r="J1039" s="184" t="s">
        <v>295</v>
      </c>
      <c r="K1039" s="184" t="s">
        <v>374</v>
      </c>
      <c r="L1039" s="185">
        <v>1</v>
      </c>
      <c r="M1039" s="186">
        <v>46254.37</v>
      </c>
      <c r="N1039" s="186">
        <v>0</v>
      </c>
      <c r="O1039" s="125">
        <f t="shared" si="82"/>
        <v>46254.37</v>
      </c>
      <c r="P1039" s="125"/>
      <c r="Q1039" s="73">
        <f t="shared" si="81"/>
        <v>5277.6236170000011</v>
      </c>
    </row>
    <row r="1040" spans="1:17" ht="14.5" x14ac:dyDescent="0.35">
      <c r="A1040" s="184" t="s">
        <v>155</v>
      </c>
      <c r="B1040" s="184" t="s">
        <v>436</v>
      </c>
      <c r="C1040" s="184" t="s">
        <v>228</v>
      </c>
      <c r="D1040" s="185" t="s">
        <v>288</v>
      </c>
      <c r="E1040" s="185">
        <v>50951</v>
      </c>
      <c r="F1040" s="185" t="s">
        <v>149</v>
      </c>
      <c r="G1040" s="184">
        <v>107504</v>
      </c>
      <c r="H1040" s="184" t="s">
        <v>320</v>
      </c>
      <c r="I1040" s="184" t="s">
        <v>337</v>
      </c>
      <c r="J1040" s="184" t="s">
        <v>295</v>
      </c>
      <c r="K1040" s="184" t="s">
        <v>375</v>
      </c>
      <c r="L1040" s="185">
        <v>1</v>
      </c>
      <c r="M1040" s="186">
        <v>22088.82</v>
      </c>
      <c r="N1040" s="186">
        <v>0</v>
      </c>
      <c r="O1040" s="125">
        <f t="shared" si="82"/>
        <v>22088.82</v>
      </c>
      <c r="P1040" s="125"/>
      <c r="Q1040" s="73">
        <f t="shared" si="81"/>
        <v>2520.3343620000001</v>
      </c>
    </row>
    <row r="1041" spans="1:17" ht="14.5" x14ac:dyDescent="0.35">
      <c r="A1041" s="184" t="s">
        <v>155</v>
      </c>
      <c r="B1041" s="184" t="s">
        <v>436</v>
      </c>
      <c r="C1041" s="184" t="s">
        <v>228</v>
      </c>
      <c r="D1041" s="185" t="s">
        <v>288</v>
      </c>
      <c r="E1041" s="185">
        <v>50952</v>
      </c>
      <c r="F1041" s="185" t="s">
        <v>149</v>
      </c>
      <c r="G1041" s="189">
        <v>109001</v>
      </c>
      <c r="H1041" s="184" t="s">
        <v>105</v>
      </c>
      <c r="I1041" s="184" t="s">
        <v>337</v>
      </c>
      <c r="J1041" s="184" t="s">
        <v>295</v>
      </c>
      <c r="K1041" s="184" t="s">
        <v>423</v>
      </c>
      <c r="L1041" s="185">
        <v>1</v>
      </c>
      <c r="M1041" s="186">
        <v>7154.22</v>
      </c>
      <c r="N1041" s="186">
        <v>0</v>
      </c>
      <c r="O1041" s="125">
        <f t="shared" si="82"/>
        <v>7154.22</v>
      </c>
      <c r="P1041" s="164">
        <f t="shared" ref="P1041:P1066" si="83">M1041*-1</f>
        <v>-7154.22</v>
      </c>
      <c r="Q1041" s="164"/>
    </row>
    <row r="1042" spans="1:17" ht="14.5" x14ac:dyDescent="0.35">
      <c r="A1042" s="184" t="s">
        <v>155</v>
      </c>
      <c r="B1042" s="184" t="s">
        <v>436</v>
      </c>
      <c r="C1042" s="184" t="s">
        <v>228</v>
      </c>
      <c r="D1042" s="185" t="s">
        <v>288</v>
      </c>
      <c r="E1042" s="185">
        <v>50954</v>
      </c>
      <c r="F1042" s="185" t="s">
        <v>149</v>
      </c>
      <c r="G1042" s="189">
        <v>109001</v>
      </c>
      <c r="H1042" s="184" t="s">
        <v>105</v>
      </c>
      <c r="I1042" s="184" t="s">
        <v>337</v>
      </c>
      <c r="J1042" s="184" t="s">
        <v>295</v>
      </c>
      <c r="K1042" s="184" t="s">
        <v>353</v>
      </c>
      <c r="L1042" s="185">
        <v>1</v>
      </c>
      <c r="M1042" s="186">
        <v>18478.87</v>
      </c>
      <c r="N1042" s="186">
        <v>0</v>
      </c>
      <c r="O1042" s="125">
        <f t="shared" si="82"/>
        <v>18478.87</v>
      </c>
      <c r="P1042" s="164">
        <f t="shared" si="83"/>
        <v>-18478.87</v>
      </c>
      <c r="Q1042" s="164"/>
    </row>
    <row r="1043" spans="1:17" ht="14.5" x14ac:dyDescent="0.35">
      <c r="A1043" s="184" t="s">
        <v>155</v>
      </c>
      <c r="B1043" s="184" t="s">
        <v>436</v>
      </c>
      <c r="C1043" s="184" t="s">
        <v>228</v>
      </c>
      <c r="D1043" s="185" t="s">
        <v>288</v>
      </c>
      <c r="E1043" s="185">
        <v>50955</v>
      </c>
      <c r="F1043" s="185" t="s">
        <v>149</v>
      </c>
      <c r="G1043" s="189">
        <v>109001</v>
      </c>
      <c r="H1043" s="184" t="s">
        <v>105</v>
      </c>
      <c r="I1043" s="184" t="s">
        <v>337</v>
      </c>
      <c r="J1043" s="184" t="s">
        <v>295</v>
      </c>
      <c r="K1043" s="184" t="s">
        <v>354</v>
      </c>
      <c r="L1043" s="185">
        <v>1</v>
      </c>
      <c r="M1043" s="186">
        <v>23518.560000000001</v>
      </c>
      <c r="N1043" s="186">
        <v>0</v>
      </c>
      <c r="O1043" s="125">
        <f t="shared" si="82"/>
        <v>23518.560000000001</v>
      </c>
      <c r="P1043" s="164">
        <f t="shared" si="83"/>
        <v>-23518.560000000001</v>
      </c>
      <c r="Q1043" s="164"/>
    </row>
    <row r="1044" spans="1:17" ht="14.5" x14ac:dyDescent="0.35">
      <c r="A1044" s="184" t="s">
        <v>155</v>
      </c>
      <c r="B1044" s="184" t="s">
        <v>436</v>
      </c>
      <c r="C1044" s="184" t="s">
        <v>228</v>
      </c>
      <c r="D1044" s="185" t="s">
        <v>288</v>
      </c>
      <c r="E1044" s="185">
        <v>50956</v>
      </c>
      <c r="F1044" s="185" t="s">
        <v>149</v>
      </c>
      <c r="G1044" s="189">
        <v>109001</v>
      </c>
      <c r="H1044" s="184" t="s">
        <v>105</v>
      </c>
      <c r="I1044" s="184" t="s">
        <v>337</v>
      </c>
      <c r="J1044" s="184" t="s">
        <v>295</v>
      </c>
      <c r="K1044" s="184" t="s">
        <v>355</v>
      </c>
      <c r="L1044" s="185">
        <v>1</v>
      </c>
      <c r="M1044" s="186">
        <v>16798.97</v>
      </c>
      <c r="N1044" s="186">
        <v>0</v>
      </c>
      <c r="O1044" s="125">
        <f t="shared" si="82"/>
        <v>16798.97</v>
      </c>
      <c r="P1044" s="164">
        <f t="shared" si="83"/>
        <v>-16798.97</v>
      </c>
      <c r="Q1044" s="164"/>
    </row>
    <row r="1045" spans="1:17" ht="14.5" x14ac:dyDescent="0.35">
      <c r="A1045" s="184" t="s">
        <v>155</v>
      </c>
      <c r="B1045" s="184" t="s">
        <v>436</v>
      </c>
      <c r="C1045" s="184" t="s">
        <v>228</v>
      </c>
      <c r="D1045" s="185" t="s">
        <v>288</v>
      </c>
      <c r="E1045" s="185">
        <v>50957</v>
      </c>
      <c r="F1045" s="185" t="s">
        <v>149</v>
      </c>
      <c r="G1045" s="189">
        <v>109001</v>
      </c>
      <c r="H1045" s="184" t="s">
        <v>105</v>
      </c>
      <c r="I1045" s="184" t="s">
        <v>337</v>
      </c>
      <c r="J1045" s="184" t="s">
        <v>295</v>
      </c>
      <c r="K1045" s="184" t="s">
        <v>356</v>
      </c>
      <c r="L1045" s="185">
        <v>1</v>
      </c>
      <c r="M1045" s="186">
        <v>13439.18</v>
      </c>
      <c r="N1045" s="186">
        <v>0</v>
      </c>
      <c r="O1045" s="125">
        <f t="shared" si="82"/>
        <v>13439.18</v>
      </c>
      <c r="P1045" s="164">
        <f t="shared" si="83"/>
        <v>-13439.18</v>
      </c>
      <c r="Q1045" s="164"/>
    </row>
    <row r="1046" spans="1:17" ht="14.5" x14ac:dyDescent="0.35">
      <c r="A1046" s="184" t="s">
        <v>155</v>
      </c>
      <c r="B1046" s="184" t="s">
        <v>436</v>
      </c>
      <c r="C1046" s="184" t="s">
        <v>228</v>
      </c>
      <c r="D1046" s="185" t="s">
        <v>288</v>
      </c>
      <c r="E1046" s="185">
        <v>50958</v>
      </c>
      <c r="F1046" s="185" t="s">
        <v>149</v>
      </c>
      <c r="G1046" s="189">
        <v>109001</v>
      </c>
      <c r="H1046" s="184" t="s">
        <v>105</v>
      </c>
      <c r="I1046" s="184" t="s">
        <v>337</v>
      </c>
      <c r="J1046" s="184" t="s">
        <v>295</v>
      </c>
      <c r="K1046" s="184" t="s">
        <v>357</v>
      </c>
      <c r="L1046" s="185">
        <v>1</v>
      </c>
      <c r="M1046" s="186">
        <v>15119.07</v>
      </c>
      <c r="N1046" s="186">
        <v>0</v>
      </c>
      <c r="O1046" s="125">
        <f t="shared" si="82"/>
        <v>15119.07</v>
      </c>
      <c r="P1046" s="164">
        <f t="shared" si="83"/>
        <v>-15119.07</v>
      </c>
      <c r="Q1046" s="164"/>
    </row>
    <row r="1047" spans="1:17" ht="14.5" x14ac:dyDescent="0.35">
      <c r="A1047" s="184" t="s">
        <v>155</v>
      </c>
      <c r="B1047" s="184" t="s">
        <v>436</v>
      </c>
      <c r="C1047" s="184" t="s">
        <v>228</v>
      </c>
      <c r="D1047" s="185" t="s">
        <v>288</v>
      </c>
      <c r="E1047" s="185">
        <v>50959</v>
      </c>
      <c r="F1047" s="185" t="s">
        <v>149</v>
      </c>
      <c r="G1047" s="189">
        <v>109001</v>
      </c>
      <c r="H1047" s="184" t="s">
        <v>105</v>
      </c>
      <c r="I1047" s="184" t="s">
        <v>337</v>
      </c>
      <c r="J1047" s="184" t="s">
        <v>295</v>
      </c>
      <c r="K1047" s="184" t="s">
        <v>358</v>
      </c>
      <c r="L1047" s="185">
        <v>1</v>
      </c>
      <c r="M1047" s="186">
        <v>23518.560000000001</v>
      </c>
      <c r="N1047" s="186">
        <v>0</v>
      </c>
      <c r="O1047" s="125">
        <f t="shared" si="82"/>
        <v>23518.560000000001</v>
      </c>
      <c r="P1047" s="164">
        <f t="shared" si="83"/>
        <v>-23518.560000000001</v>
      </c>
      <c r="Q1047" s="164"/>
    </row>
    <row r="1048" spans="1:17" ht="14.5" x14ac:dyDescent="0.35">
      <c r="A1048" s="184" t="s">
        <v>155</v>
      </c>
      <c r="B1048" s="184" t="s">
        <v>436</v>
      </c>
      <c r="C1048" s="184" t="s">
        <v>228</v>
      </c>
      <c r="D1048" s="185" t="s">
        <v>288</v>
      </c>
      <c r="E1048" s="185">
        <v>50960</v>
      </c>
      <c r="F1048" s="185" t="s">
        <v>149</v>
      </c>
      <c r="G1048" s="189">
        <v>109001</v>
      </c>
      <c r="H1048" s="184" t="s">
        <v>105</v>
      </c>
      <c r="I1048" s="184" t="s">
        <v>337</v>
      </c>
      <c r="J1048" s="184" t="s">
        <v>295</v>
      </c>
      <c r="K1048" s="184" t="s">
        <v>361</v>
      </c>
      <c r="L1048" s="185">
        <v>1</v>
      </c>
      <c r="M1048" s="186">
        <v>3359.79</v>
      </c>
      <c r="N1048" s="186">
        <v>0</v>
      </c>
      <c r="O1048" s="125">
        <f t="shared" si="82"/>
        <v>3359.79</v>
      </c>
      <c r="P1048" s="164">
        <f t="shared" si="83"/>
        <v>-3359.79</v>
      </c>
      <c r="Q1048" s="164"/>
    </row>
    <row r="1049" spans="1:17" ht="14.5" x14ac:dyDescent="0.35">
      <c r="A1049" s="184" t="s">
        <v>155</v>
      </c>
      <c r="B1049" s="184" t="s">
        <v>436</v>
      </c>
      <c r="C1049" s="184" t="s">
        <v>228</v>
      </c>
      <c r="D1049" s="185" t="s">
        <v>288</v>
      </c>
      <c r="E1049" s="185">
        <v>50961</v>
      </c>
      <c r="F1049" s="185" t="s">
        <v>149</v>
      </c>
      <c r="G1049" s="189">
        <v>109001</v>
      </c>
      <c r="H1049" s="184" t="s">
        <v>105</v>
      </c>
      <c r="I1049" s="184" t="s">
        <v>337</v>
      </c>
      <c r="J1049" s="184" t="s">
        <v>295</v>
      </c>
      <c r="K1049" s="184" t="s">
        <v>359</v>
      </c>
      <c r="L1049" s="185">
        <v>1</v>
      </c>
      <c r="M1049" s="186">
        <v>20158.77</v>
      </c>
      <c r="N1049" s="186">
        <v>0</v>
      </c>
      <c r="O1049" s="125">
        <f t="shared" si="82"/>
        <v>20158.77</v>
      </c>
      <c r="P1049" s="164">
        <f t="shared" si="83"/>
        <v>-20158.77</v>
      </c>
      <c r="Q1049" s="164"/>
    </row>
    <row r="1050" spans="1:17" ht="14.5" x14ac:dyDescent="0.35">
      <c r="A1050" s="184" t="s">
        <v>155</v>
      </c>
      <c r="B1050" s="184" t="s">
        <v>436</v>
      </c>
      <c r="C1050" s="184" t="s">
        <v>228</v>
      </c>
      <c r="D1050" s="185" t="s">
        <v>288</v>
      </c>
      <c r="E1050" s="185">
        <v>50962</v>
      </c>
      <c r="F1050" s="185" t="s">
        <v>149</v>
      </c>
      <c r="G1050" s="189">
        <v>109001</v>
      </c>
      <c r="H1050" s="184" t="s">
        <v>105</v>
      </c>
      <c r="I1050" s="184" t="s">
        <v>337</v>
      </c>
      <c r="J1050" s="184" t="s">
        <v>295</v>
      </c>
      <c r="K1050" s="184" t="s">
        <v>360</v>
      </c>
      <c r="L1050" s="185">
        <v>1</v>
      </c>
      <c r="M1050" s="186">
        <v>16323.71</v>
      </c>
      <c r="N1050" s="186">
        <v>0</v>
      </c>
      <c r="O1050" s="125">
        <f t="shared" si="82"/>
        <v>16323.71</v>
      </c>
      <c r="P1050" s="164">
        <f t="shared" si="83"/>
        <v>-16323.71</v>
      </c>
      <c r="Q1050" s="164"/>
    </row>
    <row r="1051" spans="1:17" ht="14.5" x14ac:dyDescent="0.35">
      <c r="A1051" s="184" t="s">
        <v>155</v>
      </c>
      <c r="B1051" s="184" t="s">
        <v>436</v>
      </c>
      <c r="C1051" s="184" t="s">
        <v>228</v>
      </c>
      <c r="D1051" s="185" t="s">
        <v>288</v>
      </c>
      <c r="E1051" s="185">
        <v>50963</v>
      </c>
      <c r="F1051" s="185" t="s">
        <v>149</v>
      </c>
      <c r="G1051" s="189">
        <v>109001</v>
      </c>
      <c r="H1051" s="184" t="s">
        <v>105</v>
      </c>
      <c r="I1051" s="184" t="s">
        <v>337</v>
      </c>
      <c r="J1051" s="184" t="s">
        <v>295</v>
      </c>
      <c r="K1051" s="184" t="s">
        <v>362</v>
      </c>
      <c r="L1051" s="185">
        <v>1</v>
      </c>
      <c r="M1051" s="186">
        <v>15119.07</v>
      </c>
      <c r="N1051" s="186">
        <v>0</v>
      </c>
      <c r="O1051" s="125">
        <f t="shared" si="82"/>
        <v>15119.07</v>
      </c>
      <c r="P1051" s="164">
        <f t="shared" si="83"/>
        <v>-15119.07</v>
      </c>
      <c r="Q1051" s="164"/>
    </row>
    <row r="1052" spans="1:17" ht="14.5" x14ac:dyDescent="0.35">
      <c r="A1052" s="184" t="s">
        <v>155</v>
      </c>
      <c r="B1052" s="184" t="s">
        <v>436</v>
      </c>
      <c r="C1052" s="184" t="s">
        <v>228</v>
      </c>
      <c r="D1052" s="185" t="s">
        <v>288</v>
      </c>
      <c r="E1052" s="185">
        <v>50964</v>
      </c>
      <c r="F1052" s="185" t="s">
        <v>149</v>
      </c>
      <c r="G1052" s="189">
        <v>109001</v>
      </c>
      <c r="H1052" s="184" t="s">
        <v>105</v>
      </c>
      <c r="I1052" s="184" t="s">
        <v>337</v>
      </c>
      <c r="J1052" s="184" t="s">
        <v>295</v>
      </c>
      <c r="K1052" s="184" t="s">
        <v>363</v>
      </c>
      <c r="L1052" s="185">
        <v>1</v>
      </c>
      <c r="M1052" s="186">
        <v>18478.87</v>
      </c>
      <c r="N1052" s="186">
        <v>0</v>
      </c>
      <c r="O1052" s="125">
        <f t="shared" si="82"/>
        <v>18478.87</v>
      </c>
      <c r="P1052" s="164">
        <f t="shared" si="83"/>
        <v>-18478.87</v>
      </c>
      <c r="Q1052" s="164"/>
    </row>
    <row r="1053" spans="1:17" ht="14.5" x14ac:dyDescent="0.35">
      <c r="A1053" s="184" t="s">
        <v>155</v>
      </c>
      <c r="B1053" s="184" t="s">
        <v>436</v>
      </c>
      <c r="C1053" s="184" t="s">
        <v>228</v>
      </c>
      <c r="D1053" s="185" t="s">
        <v>288</v>
      </c>
      <c r="E1053" s="185">
        <v>50965</v>
      </c>
      <c r="F1053" s="185" t="s">
        <v>149</v>
      </c>
      <c r="G1053" s="189">
        <v>109001</v>
      </c>
      <c r="H1053" s="184" t="s">
        <v>105</v>
      </c>
      <c r="I1053" s="184" t="s">
        <v>337</v>
      </c>
      <c r="J1053" s="184" t="s">
        <v>295</v>
      </c>
      <c r="K1053" s="184" t="s">
        <v>364</v>
      </c>
      <c r="L1053" s="185">
        <v>1</v>
      </c>
      <c r="M1053" s="186">
        <v>33597.93</v>
      </c>
      <c r="N1053" s="186">
        <v>0</v>
      </c>
      <c r="O1053" s="125">
        <f t="shared" si="82"/>
        <v>33597.93</v>
      </c>
      <c r="P1053" s="164">
        <f t="shared" si="83"/>
        <v>-33597.93</v>
      </c>
      <c r="Q1053" s="164"/>
    </row>
    <row r="1054" spans="1:17" ht="14.5" x14ac:dyDescent="0.35">
      <c r="A1054" s="184" t="s">
        <v>155</v>
      </c>
      <c r="B1054" s="184" t="s">
        <v>436</v>
      </c>
      <c r="C1054" s="184" t="s">
        <v>228</v>
      </c>
      <c r="D1054" s="185" t="s">
        <v>288</v>
      </c>
      <c r="E1054" s="185">
        <v>50966</v>
      </c>
      <c r="F1054" s="185" t="s">
        <v>149</v>
      </c>
      <c r="G1054" s="189">
        <v>109001</v>
      </c>
      <c r="H1054" s="184" t="s">
        <v>105</v>
      </c>
      <c r="I1054" s="184" t="s">
        <v>337</v>
      </c>
      <c r="J1054" s="184" t="s">
        <v>295</v>
      </c>
      <c r="K1054" s="184" t="s">
        <v>365</v>
      </c>
      <c r="L1054" s="185">
        <v>1</v>
      </c>
      <c r="M1054" s="186">
        <v>18317.59</v>
      </c>
      <c r="N1054" s="186">
        <v>0</v>
      </c>
      <c r="O1054" s="125">
        <f t="shared" si="82"/>
        <v>18317.59</v>
      </c>
      <c r="P1054" s="164">
        <f t="shared" si="83"/>
        <v>-18317.59</v>
      </c>
      <c r="Q1054" s="164"/>
    </row>
    <row r="1055" spans="1:17" ht="14.5" x14ac:dyDescent="0.35">
      <c r="A1055" s="184" t="s">
        <v>155</v>
      </c>
      <c r="B1055" s="184" t="s">
        <v>436</v>
      </c>
      <c r="C1055" s="184" t="s">
        <v>228</v>
      </c>
      <c r="D1055" s="185" t="s">
        <v>288</v>
      </c>
      <c r="E1055" s="185">
        <v>50967</v>
      </c>
      <c r="F1055" s="185" t="s">
        <v>149</v>
      </c>
      <c r="G1055" s="189">
        <v>109001</v>
      </c>
      <c r="H1055" s="184" t="s">
        <v>105</v>
      </c>
      <c r="I1055" s="184" t="s">
        <v>337</v>
      </c>
      <c r="J1055" s="184" t="s">
        <v>295</v>
      </c>
      <c r="K1055" s="184" t="s">
        <v>366</v>
      </c>
      <c r="L1055" s="185">
        <v>1</v>
      </c>
      <c r="M1055" s="186">
        <v>30238.14</v>
      </c>
      <c r="N1055" s="186">
        <v>0</v>
      </c>
      <c r="O1055" s="125">
        <f t="shared" si="82"/>
        <v>30238.14</v>
      </c>
      <c r="P1055" s="164">
        <f t="shared" si="83"/>
        <v>-30238.14</v>
      </c>
      <c r="Q1055" s="164"/>
    </row>
    <row r="1056" spans="1:17" ht="14.5" x14ac:dyDescent="0.35">
      <c r="A1056" s="184" t="s">
        <v>155</v>
      </c>
      <c r="B1056" s="184" t="s">
        <v>436</v>
      </c>
      <c r="C1056" s="184" t="s">
        <v>228</v>
      </c>
      <c r="D1056" s="185" t="s">
        <v>288</v>
      </c>
      <c r="E1056" s="185">
        <v>50968</v>
      </c>
      <c r="F1056" s="185" t="s">
        <v>149</v>
      </c>
      <c r="G1056" s="189">
        <v>109001</v>
      </c>
      <c r="H1056" s="184" t="s">
        <v>105</v>
      </c>
      <c r="I1056" s="184" t="s">
        <v>337</v>
      </c>
      <c r="J1056" s="184" t="s">
        <v>295</v>
      </c>
      <c r="K1056" s="184" t="s">
        <v>367</v>
      </c>
      <c r="L1056" s="185">
        <v>1</v>
      </c>
      <c r="M1056" s="186">
        <v>11759.28</v>
      </c>
      <c r="N1056" s="186">
        <v>0</v>
      </c>
      <c r="O1056" s="125">
        <f t="shared" si="82"/>
        <v>11759.28</v>
      </c>
      <c r="P1056" s="164">
        <f t="shared" si="83"/>
        <v>-11759.28</v>
      </c>
      <c r="Q1056" s="164"/>
    </row>
    <row r="1057" spans="1:17" ht="14.5" x14ac:dyDescent="0.35">
      <c r="A1057" s="184" t="s">
        <v>155</v>
      </c>
      <c r="B1057" s="184" t="s">
        <v>436</v>
      </c>
      <c r="C1057" s="184" t="s">
        <v>228</v>
      </c>
      <c r="D1057" s="185" t="s">
        <v>288</v>
      </c>
      <c r="E1057" s="185">
        <v>50969</v>
      </c>
      <c r="F1057" s="185" t="s">
        <v>149</v>
      </c>
      <c r="G1057" s="189">
        <v>109001</v>
      </c>
      <c r="H1057" s="184" t="s">
        <v>105</v>
      </c>
      <c r="I1057" s="184" t="s">
        <v>337</v>
      </c>
      <c r="J1057" s="184" t="s">
        <v>295</v>
      </c>
      <c r="K1057" s="184" t="s">
        <v>368</v>
      </c>
      <c r="L1057" s="185">
        <v>1</v>
      </c>
      <c r="M1057" s="186">
        <v>11759.28</v>
      </c>
      <c r="N1057" s="186">
        <v>0</v>
      </c>
      <c r="O1057" s="125">
        <f t="shared" si="82"/>
        <v>11759.28</v>
      </c>
      <c r="P1057" s="164">
        <f t="shared" si="83"/>
        <v>-11759.28</v>
      </c>
      <c r="Q1057" s="164"/>
    </row>
    <row r="1058" spans="1:17" ht="14.5" x14ac:dyDescent="0.35">
      <c r="A1058" s="184" t="s">
        <v>155</v>
      </c>
      <c r="B1058" s="184" t="s">
        <v>436</v>
      </c>
      <c r="C1058" s="184" t="s">
        <v>228</v>
      </c>
      <c r="D1058" s="185" t="s">
        <v>288</v>
      </c>
      <c r="E1058" s="185">
        <v>50970</v>
      </c>
      <c r="F1058" s="185" t="s">
        <v>149</v>
      </c>
      <c r="G1058" s="189">
        <v>109001</v>
      </c>
      <c r="H1058" s="184" t="s">
        <v>105</v>
      </c>
      <c r="I1058" s="184" t="s">
        <v>337</v>
      </c>
      <c r="J1058" s="184" t="s">
        <v>295</v>
      </c>
      <c r="K1058" s="184" t="s">
        <v>352</v>
      </c>
      <c r="L1058" s="185">
        <v>1</v>
      </c>
      <c r="M1058" s="186">
        <v>17806.91</v>
      </c>
      <c r="N1058" s="186">
        <v>0</v>
      </c>
      <c r="O1058" s="125">
        <f t="shared" si="82"/>
        <v>17806.91</v>
      </c>
      <c r="P1058" s="164">
        <f t="shared" si="83"/>
        <v>-17806.91</v>
      </c>
      <c r="Q1058" s="164"/>
    </row>
    <row r="1059" spans="1:17" ht="14.5" x14ac:dyDescent="0.35">
      <c r="A1059" s="184" t="s">
        <v>155</v>
      </c>
      <c r="B1059" s="184" t="s">
        <v>436</v>
      </c>
      <c r="C1059" s="184" t="s">
        <v>228</v>
      </c>
      <c r="D1059" s="185" t="s">
        <v>288</v>
      </c>
      <c r="E1059" s="185">
        <v>50971</v>
      </c>
      <c r="F1059" s="185" t="s">
        <v>149</v>
      </c>
      <c r="G1059" s="189">
        <v>109001</v>
      </c>
      <c r="H1059" s="184" t="s">
        <v>105</v>
      </c>
      <c r="I1059" s="184" t="s">
        <v>337</v>
      </c>
      <c r="J1059" s="184" t="s">
        <v>295</v>
      </c>
      <c r="K1059" s="184" t="s">
        <v>369</v>
      </c>
      <c r="L1059" s="185">
        <v>1</v>
      </c>
      <c r="M1059" s="186">
        <v>14447.12</v>
      </c>
      <c r="N1059" s="186">
        <v>0</v>
      </c>
      <c r="O1059" s="125">
        <f t="shared" si="82"/>
        <v>14447.12</v>
      </c>
      <c r="P1059" s="164">
        <f t="shared" si="83"/>
        <v>-14447.12</v>
      </c>
      <c r="Q1059" s="164"/>
    </row>
    <row r="1060" spans="1:17" ht="14.5" x14ac:dyDescent="0.35">
      <c r="A1060" s="184" t="s">
        <v>155</v>
      </c>
      <c r="B1060" s="184" t="s">
        <v>436</v>
      </c>
      <c r="C1060" s="184" t="s">
        <v>228</v>
      </c>
      <c r="D1060" s="185" t="s">
        <v>288</v>
      </c>
      <c r="E1060" s="185">
        <v>50972</v>
      </c>
      <c r="F1060" s="185" t="s">
        <v>149</v>
      </c>
      <c r="G1060" s="189">
        <v>109001</v>
      </c>
      <c r="H1060" s="184" t="s">
        <v>105</v>
      </c>
      <c r="I1060" s="184" t="s">
        <v>337</v>
      </c>
      <c r="J1060" s="184" t="s">
        <v>295</v>
      </c>
      <c r="K1060" s="184" t="s">
        <v>370</v>
      </c>
      <c r="L1060" s="185">
        <v>1</v>
      </c>
      <c r="M1060" s="186">
        <v>15119.07</v>
      </c>
      <c r="N1060" s="186">
        <v>0</v>
      </c>
      <c r="O1060" s="125">
        <f t="shared" si="82"/>
        <v>15119.07</v>
      </c>
      <c r="P1060" s="164">
        <f t="shared" si="83"/>
        <v>-15119.07</v>
      </c>
      <c r="Q1060" s="164"/>
    </row>
    <row r="1061" spans="1:17" ht="14.5" x14ac:dyDescent="0.35">
      <c r="A1061" s="184" t="s">
        <v>155</v>
      </c>
      <c r="B1061" s="184" t="s">
        <v>436</v>
      </c>
      <c r="C1061" s="184" t="s">
        <v>228</v>
      </c>
      <c r="D1061" s="185" t="s">
        <v>288</v>
      </c>
      <c r="E1061" s="185">
        <v>50973</v>
      </c>
      <c r="F1061" s="185" t="s">
        <v>149</v>
      </c>
      <c r="G1061" s="189">
        <v>109001</v>
      </c>
      <c r="H1061" s="184" t="s">
        <v>105</v>
      </c>
      <c r="I1061" s="184" t="s">
        <v>337</v>
      </c>
      <c r="J1061" s="184" t="s">
        <v>295</v>
      </c>
      <c r="K1061" s="184" t="s">
        <v>371</v>
      </c>
      <c r="L1061" s="185">
        <v>1</v>
      </c>
      <c r="M1061" s="186">
        <v>38973.599999999999</v>
      </c>
      <c r="N1061" s="186">
        <v>0</v>
      </c>
      <c r="O1061" s="125">
        <f t="shared" si="82"/>
        <v>38973.599999999999</v>
      </c>
      <c r="P1061" s="164">
        <f t="shared" si="83"/>
        <v>-38973.599999999999</v>
      </c>
      <c r="Q1061" s="164"/>
    </row>
    <row r="1062" spans="1:17" ht="14.5" x14ac:dyDescent="0.35">
      <c r="A1062" s="184" t="s">
        <v>155</v>
      </c>
      <c r="B1062" s="184" t="s">
        <v>436</v>
      </c>
      <c r="C1062" s="184" t="s">
        <v>228</v>
      </c>
      <c r="D1062" s="185" t="s">
        <v>288</v>
      </c>
      <c r="E1062" s="185">
        <v>50974</v>
      </c>
      <c r="F1062" s="185" t="s">
        <v>149</v>
      </c>
      <c r="G1062" s="189">
        <v>109001</v>
      </c>
      <c r="H1062" s="184" t="s">
        <v>105</v>
      </c>
      <c r="I1062" s="184" t="s">
        <v>337</v>
      </c>
      <c r="J1062" s="184" t="s">
        <v>295</v>
      </c>
      <c r="K1062" s="184" t="s">
        <v>372</v>
      </c>
      <c r="L1062" s="185">
        <v>1</v>
      </c>
      <c r="M1062" s="186">
        <v>19486.810000000001</v>
      </c>
      <c r="N1062" s="186">
        <v>0</v>
      </c>
      <c r="O1062" s="125">
        <f t="shared" si="82"/>
        <v>19486.810000000001</v>
      </c>
      <c r="P1062" s="164">
        <f t="shared" si="83"/>
        <v>-19486.810000000001</v>
      </c>
      <c r="Q1062" s="164"/>
    </row>
    <row r="1063" spans="1:17" ht="14.5" x14ac:dyDescent="0.35">
      <c r="A1063" s="184" t="s">
        <v>155</v>
      </c>
      <c r="B1063" s="184" t="s">
        <v>436</v>
      </c>
      <c r="C1063" s="184" t="s">
        <v>228</v>
      </c>
      <c r="D1063" s="185" t="s">
        <v>288</v>
      </c>
      <c r="E1063" s="185">
        <v>50975</v>
      </c>
      <c r="F1063" s="185" t="s">
        <v>149</v>
      </c>
      <c r="G1063" s="189">
        <v>109001</v>
      </c>
      <c r="H1063" s="184" t="s">
        <v>105</v>
      </c>
      <c r="I1063" s="184" t="s">
        <v>337</v>
      </c>
      <c r="J1063" s="184" t="s">
        <v>295</v>
      </c>
      <c r="K1063" s="184" t="s">
        <v>373</v>
      </c>
      <c r="L1063" s="185">
        <v>1</v>
      </c>
      <c r="M1063" s="186">
        <v>18478.87</v>
      </c>
      <c r="N1063" s="186">
        <v>0</v>
      </c>
      <c r="O1063" s="125">
        <f t="shared" si="82"/>
        <v>18478.87</v>
      </c>
      <c r="P1063" s="164">
        <f t="shared" si="83"/>
        <v>-18478.87</v>
      </c>
      <c r="Q1063" s="164"/>
    </row>
    <row r="1064" spans="1:17" ht="14.5" x14ac:dyDescent="0.35">
      <c r="A1064" s="184" t="s">
        <v>155</v>
      </c>
      <c r="B1064" s="184" t="s">
        <v>436</v>
      </c>
      <c r="C1064" s="184" t="s">
        <v>228</v>
      </c>
      <c r="D1064" s="185" t="s">
        <v>288</v>
      </c>
      <c r="E1064" s="185">
        <v>50976</v>
      </c>
      <c r="F1064" s="185" t="s">
        <v>149</v>
      </c>
      <c r="G1064" s="189">
        <v>109001</v>
      </c>
      <c r="H1064" s="184" t="s">
        <v>105</v>
      </c>
      <c r="I1064" s="184" t="s">
        <v>337</v>
      </c>
      <c r="J1064" s="184" t="s">
        <v>295</v>
      </c>
      <c r="K1064" s="184" t="s">
        <v>351</v>
      </c>
      <c r="L1064" s="185">
        <v>1</v>
      </c>
      <c r="M1064" s="186">
        <v>26206.39</v>
      </c>
      <c r="N1064" s="186">
        <v>0</v>
      </c>
      <c r="O1064" s="125">
        <f t="shared" si="82"/>
        <v>26206.39</v>
      </c>
      <c r="P1064" s="164">
        <f t="shared" si="83"/>
        <v>-26206.39</v>
      </c>
      <c r="Q1064" s="164"/>
    </row>
    <row r="1065" spans="1:17" ht="14.5" x14ac:dyDescent="0.35">
      <c r="A1065" s="184" t="s">
        <v>155</v>
      </c>
      <c r="B1065" s="184" t="s">
        <v>436</v>
      </c>
      <c r="C1065" s="184" t="s">
        <v>228</v>
      </c>
      <c r="D1065" s="185" t="s">
        <v>288</v>
      </c>
      <c r="E1065" s="185">
        <v>50977</v>
      </c>
      <c r="F1065" s="185" t="s">
        <v>149</v>
      </c>
      <c r="G1065" s="189">
        <v>109001</v>
      </c>
      <c r="H1065" s="184" t="s">
        <v>105</v>
      </c>
      <c r="I1065" s="184" t="s">
        <v>337</v>
      </c>
      <c r="J1065" s="184" t="s">
        <v>295</v>
      </c>
      <c r="K1065" s="184" t="s">
        <v>374</v>
      </c>
      <c r="L1065" s="185">
        <v>1</v>
      </c>
      <c r="M1065" s="186">
        <v>11759.28</v>
      </c>
      <c r="N1065" s="186">
        <v>0</v>
      </c>
      <c r="O1065" s="125">
        <f t="shared" si="82"/>
        <v>11759.28</v>
      </c>
      <c r="P1065" s="164">
        <f t="shared" si="83"/>
        <v>-11759.28</v>
      </c>
      <c r="Q1065" s="164"/>
    </row>
    <row r="1066" spans="1:17" ht="14.5" x14ac:dyDescent="0.35">
      <c r="A1066" s="184" t="s">
        <v>155</v>
      </c>
      <c r="B1066" s="184" t="s">
        <v>436</v>
      </c>
      <c r="C1066" s="184" t="s">
        <v>228</v>
      </c>
      <c r="D1066" s="185" t="s">
        <v>288</v>
      </c>
      <c r="E1066" s="185">
        <v>50978</v>
      </c>
      <c r="F1066" s="185" t="s">
        <v>149</v>
      </c>
      <c r="G1066" s="189">
        <v>109001</v>
      </c>
      <c r="H1066" s="184" t="s">
        <v>105</v>
      </c>
      <c r="I1066" s="184" t="s">
        <v>337</v>
      </c>
      <c r="J1066" s="184" t="s">
        <v>295</v>
      </c>
      <c r="K1066" s="184" t="s">
        <v>375</v>
      </c>
      <c r="L1066" s="185">
        <v>1</v>
      </c>
      <c r="M1066" s="186">
        <v>5615.66</v>
      </c>
      <c r="N1066" s="186">
        <v>0</v>
      </c>
      <c r="O1066" s="125">
        <f t="shared" si="82"/>
        <v>5615.66</v>
      </c>
      <c r="P1066" s="164">
        <f t="shared" si="83"/>
        <v>-5615.66</v>
      </c>
      <c r="Q1066" s="164"/>
    </row>
    <row r="1067" spans="1:17" ht="14.5" x14ac:dyDescent="0.35">
      <c r="A1067" s="184" t="s">
        <v>155</v>
      </c>
      <c r="B1067" s="184" t="s">
        <v>436</v>
      </c>
      <c r="C1067" s="184" t="s">
        <v>228</v>
      </c>
      <c r="D1067" s="185" t="s">
        <v>288</v>
      </c>
      <c r="E1067" s="185">
        <v>50979</v>
      </c>
      <c r="F1067" s="185" t="s">
        <v>149</v>
      </c>
      <c r="G1067" s="189">
        <v>109901</v>
      </c>
      <c r="H1067" s="184" t="s">
        <v>106</v>
      </c>
      <c r="I1067" s="184" t="s">
        <v>337</v>
      </c>
      <c r="J1067" s="184" t="s">
        <v>295</v>
      </c>
      <c r="K1067" s="184" t="s">
        <v>423</v>
      </c>
      <c r="L1067" s="185">
        <v>1</v>
      </c>
      <c r="M1067" s="186">
        <v>10882.22</v>
      </c>
      <c r="N1067" s="186">
        <v>0</v>
      </c>
      <c r="O1067" s="125">
        <f t="shared" si="82"/>
        <v>10882.22</v>
      </c>
      <c r="P1067" s="125"/>
    </row>
    <row r="1068" spans="1:17" ht="14.5" x14ac:dyDescent="0.35">
      <c r="A1068" s="184" t="s">
        <v>155</v>
      </c>
      <c r="B1068" s="184" t="s">
        <v>436</v>
      </c>
      <c r="C1068" s="184" t="s">
        <v>228</v>
      </c>
      <c r="D1068" s="185" t="s">
        <v>288</v>
      </c>
      <c r="E1068" s="185">
        <v>50981</v>
      </c>
      <c r="F1068" s="185" t="s">
        <v>149</v>
      </c>
      <c r="G1068" s="189">
        <v>109901</v>
      </c>
      <c r="H1068" s="184" t="s">
        <v>106</v>
      </c>
      <c r="I1068" s="184" t="s">
        <v>337</v>
      </c>
      <c r="J1068" s="184" t="s">
        <v>295</v>
      </c>
      <c r="K1068" s="184" t="s">
        <v>353</v>
      </c>
      <c r="L1068" s="185">
        <v>1</v>
      </c>
      <c r="M1068" s="186">
        <v>28108.05</v>
      </c>
      <c r="N1068" s="186">
        <v>0</v>
      </c>
      <c r="O1068" s="125">
        <f t="shared" si="82"/>
        <v>28108.05</v>
      </c>
      <c r="P1068" s="125"/>
    </row>
    <row r="1069" spans="1:17" ht="14.5" x14ac:dyDescent="0.35">
      <c r="A1069" s="184" t="s">
        <v>155</v>
      </c>
      <c r="B1069" s="184" t="s">
        <v>436</v>
      </c>
      <c r="C1069" s="184" t="s">
        <v>228</v>
      </c>
      <c r="D1069" s="185" t="s">
        <v>288</v>
      </c>
      <c r="E1069" s="185">
        <v>50982</v>
      </c>
      <c r="F1069" s="185" t="s">
        <v>149</v>
      </c>
      <c r="G1069" s="189">
        <v>109901</v>
      </c>
      <c r="H1069" s="184" t="s">
        <v>106</v>
      </c>
      <c r="I1069" s="184" t="s">
        <v>337</v>
      </c>
      <c r="J1069" s="184" t="s">
        <v>295</v>
      </c>
      <c r="K1069" s="184" t="s">
        <v>354</v>
      </c>
      <c r="L1069" s="185">
        <v>1</v>
      </c>
      <c r="M1069" s="186">
        <v>35773.870000000003</v>
      </c>
      <c r="N1069" s="186">
        <v>0</v>
      </c>
      <c r="O1069" s="125">
        <f t="shared" si="82"/>
        <v>35773.870000000003</v>
      </c>
      <c r="P1069" s="125"/>
    </row>
    <row r="1070" spans="1:17" ht="14.5" x14ac:dyDescent="0.35">
      <c r="A1070" s="184" t="s">
        <v>155</v>
      </c>
      <c r="B1070" s="184" t="s">
        <v>436</v>
      </c>
      <c r="C1070" s="184" t="s">
        <v>228</v>
      </c>
      <c r="D1070" s="185" t="s">
        <v>288</v>
      </c>
      <c r="E1070" s="185">
        <v>50983</v>
      </c>
      <c r="F1070" s="185" t="s">
        <v>149</v>
      </c>
      <c r="G1070" s="189">
        <v>109901</v>
      </c>
      <c r="H1070" s="184" t="s">
        <v>106</v>
      </c>
      <c r="I1070" s="184" t="s">
        <v>337</v>
      </c>
      <c r="J1070" s="184" t="s">
        <v>295</v>
      </c>
      <c r="K1070" s="184" t="s">
        <v>355</v>
      </c>
      <c r="L1070" s="185">
        <v>1</v>
      </c>
      <c r="M1070" s="186">
        <v>25552.76</v>
      </c>
      <c r="N1070" s="186">
        <v>0</v>
      </c>
      <c r="O1070" s="125">
        <f t="shared" si="82"/>
        <v>25552.76</v>
      </c>
      <c r="P1070" s="125"/>
    </row>
    <row r="1071" spans="1:17" ht="14.5" x14ac:dyDescent="0.35">
      <c r="A1071" s="184" t="s">
        <v>155</v>
      </c>
      <c r="B1071" s="184" t="s">
        <v>436</v>
      </c>
      <c r="C1071" s="184" t="s">
        <v>228</v>
      </c>
      <c r="D1071" s="185" t="s">
        <v>288</v>
      </c>
      <c r="E1071" s="185">
        <v>50984</v>
      </c>
      <c r="F1071" s="185" t="s">
        <v>149</v>
      </c>
      <c r="G1071" s="189">
        <v>109901</v>
      </c>
      <c r="H1071" s="184" t="s">
        <v>106</v>
      </c>
      <c r="I1071" s="184" t="s">
        <v>337</v>
      </c>
      <c r="J1071" s="184" t="s">
        <v>295</v>
      </c>
      <c r="K1071" s="184" t="s">
        <v>356</v>
      </c>
      <c r="L1071" s="185">
        <v>1</v>
      </c>
      <c r="M1071" s="186">
        <v>20442.21</v>
      </c>
      <c r="N1071" s="186">
        <v>0</v>
      </c>
      <c r="O1071" s="125">
        <f t="shared" si="82"/>
        <v>20442.21</v>
      </c>
      <c r="P1071" s="125"/>
    </row>
    <row r="1072" spans="1:17" ht="14.5" x14ac:dyDescent="0.35">
      <c r="A1072" s="184" t="s">
        <v>155</v>
      </c>
      <c r="B1072" s="184" t="s">
        <v>436</v>
      </c>
      <c r="C1072" s="184" t="s">
        <v>228</v>
      </c>
      <c r="D1072" s="185" t="s">
        <v>288</v>
      </c>
      <c r="E1072" s="185">
        <v>50985</v>
      </c>
      <c r="F1072" s="185" t="s">
        <v>149</v>
      </c>
      <c r="G1072" s="189">
        <v>109901</v>
      </c>
      <c r="H1072" s="184" t="s">
        <v>106</v>
      </c>
      <c r="I1072" s="184" t="s">
        <v>337</v>
      </c>
      <c r="J1072" s="184" t="s">
        <v>295</v>
      </c>
      <c r="K1072" s="184" t="s">
        <v>357</v>
      </c>
      <c r="L1072" s="185">
        <v>1</v>
      </c>
      <c r="M1072" s="186">
        <v>22997.49</v>
      </c>
      <c r="N1072" s="186">
        <v>0</v>
      </c>
      <c r="O1072" s="125">
        <f t="shared" si="82"/>
        <v>22997.49</v>
      </c>
      <c r="P1072" s="125"/>
    </row>
    <row r="1073" spans="1:16" ht="14.5" x14ac:dyDescent="0.35">
      <c r="A1073" s="184" t="s">
        <v>155</v>
      </c>
      <c r="B1073" s="184" t="s">
        <v>436</v>
      </c>
      <c r="C1073" s="184" t="s">
        <v>228</v>
      </c>
      <c r="D1073" s="185" t="s">
        <v>288</v>
      </c>
      <c r="E1073" s="185">
        <v>50986</v>
      </c>
      <c r="F1073" s="185" t="s">
        <v>149</v>
      </c>
      <c r="G1073" s="189">
        <v>109901</v>
      </c>
      <c r="H1073" s="184" t="s">
        <v>106</v>
      </c>
      <c r="I1073" s="184" t="s">
        <v>337</v>
      </c>
      <c r="J1073" s="184" t="s">
        <v>295</v>
      </c>
      <c r="K1073" s="184" t="s">
        <v>358</v>
      </c>
      <c r="L1073" s="185">
        <v>1</v>
      </c>
      <c r="M1073" s="186">
        <v>35773.870000000003</v>
      </c>
      <c r="N1073" s="186">
        <v>0</v>
      </c>
      <c r="O1073" s="125">
        <f t="shared" si="82"/>
        <v>35773.870000000003</v>
      </c>
      <c r="P1073" s="125"/>
    </row>
    <row r="1074" spans="1:16" ht="14.5" x14ac:dyDescent="0.35">
      <c r="A1074" s="184" t="s">
        <v>155</v>
      </c>
      <c r="B1074" s="184" t="s">
        <v>436</v>
      </c>
      <c r="C1074" s="184" t="s">
        <v>228</v>
      </c>
      <c r="D1074" s="185" t="s">
        <v>288</v>
      </c>
      <c r="E1074" s="185">
        <v>50987</v>
      </c>
      <c r="F1074" s="185" t="s">
        <v>149</v>
      </c>
      <c r="G1074" s="189">
        <v>109901</v>
      </c>
      <c r="H1074" s="184" t="s">
        <v>106</v>
      </c>
      <c r="I1074" s="184" t="s">
        <v>337</v>
      </c>
      <c r="J1074" s="184" t="s">
        <v>295</v>
      </c>
      <c r="K1074" s="184" t="s">
        <v>361</v>
      </c>
      <c r="L1074" s="185">
        <v>1</v>
      </c>
      <c r="M1074" s="186">
        <v>5110.55</v>
      </c>
      <c r="N1074" s="186">
        <v>0</v>
      </c>
      <c r="O1074" s="125">
        <f t="shared" si="82"/>
        <v>5110.55</v>
      </c>
      <c r="P1074" s="125"/>
    </row>
    <row r="1075" spans="1:16" ht="14.5" x14ac:dyDescent="0.35">
      <c r="A1075" s="184" t="s">
        <v>155</v>
      </c>
      <c r="B1075" s="184" t="s">
        <v>436</v>
      </c>
      <c r="C1075" s="184" t="s">
        <v>228</v>
      </c>
      <c r="D1075" s="185" t="s">
        <v>288</v>
      </c>
      <c r="E1075" s="185">
        <v>50988</v>
      </c>
      <c r="F1075" s="185" t="s">
        <v>149</v>
      </c>
      <c r="G1075" s="189">
        <v>109901</v>
      </c>
      <c r="H1075" s="184" t="s">
        <v>106</v>
      </c>
      <c r="I1075" s="184" t="s">
        <v>337</v>
      </c>
      <c r="J1075" s="184" t="s">
        <v>295</v>
      </c>
      <c r="K1075" s="184" t="s">
        <v>359</v>
      </c>
      <c r="L1075" s="185">
        <v>1</v>
      </c>
      <c r="M1075" s="186">
        <v>30670.32</v>
      </c>
      <c r="N1075" s="186">
        <v>0</v>
      </c>
      <c r="O1075" s="125">
        <f t="shared" si="82"/>
        <v>30670.32</v>
      </c>
      <c r="P1075" s="125"/>
    </row>
    <row r="1076" spans="1:16" ht="14.5" x14ac:dyDescent="0.35">
      <c r="A1076" s="184" t="s">
        <v>155</v>
      </c>
      <c r="B1076" s="184" t="s">
        <v>436</v>
      </c>
      <c r="C1076" s="184" t="s">
        <v>228</v>
      </c>
      <c r="D1076" s="185" t="s">
        <v>288</v>
      </c>
      <c r="E1076" s="185">
        <v>50989</v>
      </c>
      <c r="F1076" s="185" t="s">
        <v>149</v>
      </c>
      <c r="G1076" s="189">
        <v>109901</v>
      </c>
      <c r="H1076" s="184" t="s">
        <v>106</v>
      </c>
      <c r="I1076" s="184" t="s">
        <v>337</v>
      </c>
      <c r="J1076" s="184" t="s">
        <v>295</v>
      </c>
      <c r="K1076" s="184" t="s">
        <v>360</v>
      </c>
      <c r="L1076" s="185">
        <v>1</v>
      </c>
      <c r="M1076" s="186">
        <v>24959.57</v>
      </c>
      <c r="N1076" s="186">
        <v>0</v>
      </c>
      <c r="O1076" s="125">
        <f t="shared" si="82"/>
        <v>24959.57</v>
      </c>
      <c r="P1076" s="125"/>
    </row>
    <row r="1077" spans="1:16" ht="14.5" x14ac:dyDescent="0.35">
      <c r="A1077" s="184" t="s">
        <v>155</v>
      </c>
      <c r="B1077" s="184" t="s">
        <v>436</v>
      </c>
      <c r="C1077" s="184" t="s">
        <v>228</v>
      </c>
      <c r="D1077" s="185" t="s">
        <v>288</v>
      </c>
      <c r="E1077" s="185">
        <v>50990</v>
      </c>
      <c r="F1077" s="185" t="s">
        <v>149</v>
      </c>
      <c r="G1077" s="189">
        <v>109901</v>
      </c>
      <c r="H1077" s="184" t="s">
        <v>106</v>
      </c>
      <c r="I1077" s="184" t="s">
        <v>337</v>
      </c>
      <c r="J1077" s="184" t="s">
        <v>295</v>
      </c>
      <c r="K1077" s="184" t="s">
        <v>362</v>
      </c>
      <c r="L1077" s="185">
        <v>1</v>
      </c>
      <c r="M1077" s="186">
        <v>22997.49</v>
      </c>
      <c r="N1077" s="186">
        <v>0</v>
      </c>
      <c r="O1077" s="125">
        <f t="shared" si="82"/>
        <v>22997.49</v>
      </c>
      <c r="P1077" s="125"/>
    </row>
    <row r="1078" spans="1:16" ht="14.5" x14ac:dyDescent="0.35">
      <c r="A1078" s="184" t="s">
        <v>155</v>
      </c>
      <c r="B1078" s="184" t="s">
        <v>436</v>
      </c>
      <c r="C1078" s="184" t="s">
        <v>228</v>
      </c>
      <c r="D1078" s="185" t="s">
        <v>288</v>
      </c>
      <c r="E1078" s="185">
        <v>50991</v>
      </c>
      <c r="F1078" s="185" t="s">
        <v>149</v>
      </c>
      <c r="G1078" s="189">
        <v>109901</v>
      </c>
      <c r="H1078" s="184" t="s">
        <v>106</v>
      </c>
      <c r="I1078" s="184" t="s">
        <v>337</v>
      </c>
      <c r="J1078" s="184" t="s">
        <v>295</v>
      </c>
      <c r="K1078" s="184" t="s">
        <v>363</v>
      </c>
      <c r="L1078" s="185">
        <v>1</v>
      </c>
      <c r="M1078" s="186">
        <v>28108.05</v>
      </c>
      <c r="N1078" s="186">
        <v>0</v>
      </c>
      <c r="O1078" s="125">
        <f t="shared" si="82"/>
        <v>28108.05</v>
      </c>
      <c r="P1078" s="125"/>
    </row>
    <row r="1079" spans="1:16" ht="14.5" x14ac:dyDescent="0.35">
      <c r="A1079" s="184" t="s">
        <v>155</v>
      </c>
      <c r="B1079" s="184" t="s">
        <v>436</v>
      </c>
      <c r="C1079" s="184" t="s">
        <v>228</v>
      </c>
      <c r="D1079" s="185" t="s">
        <v>288</v>
      </c>
      <c r="E1079" s="185">
        <v>50992</v>
      </c>
      <c r="F1079" s="185" t="s">
        <v>149</v>
      </c>
      <c r="G1079" s="189">
        <v>109901</v>
      </c>
      <c r="H1079" s="184" t="s">
        <v>106</v>
      </c>
      <c r="I1079" s="184" t="s">
        <v>337</v>
      </c>
      <c r="J1079" s="184" t="s">
        <v>295</v>
      </c>
      <c r="K1079" s="184" t="s">
        <v>364</v>
      </c>
      <c r="L1079" s="185">
        <v>1</v>
      </c>
      <c r="M1079" s="186">
        <v>51105.54</v>
      </c>
      <c r="N1079" s="186">
        <v>0</v>
      </c>
      <c r="O1079" s="125">
        <f t="shared" si="82"/>
        <v>51105.54</v>
      </c>
      <c r="P1079" s="125"/>
    </row>
    <row r="1080" spans="1:16" ht="14.5" x14ac:dyDescent="0.35">
      <c r="A1080" s="184" t="s">
        <v>155</v>
      </c>
      <c r="B1080" s="184" t="s">
        <v>436</v>
      </c>
      <c r="C1080" s="184" t="s">
        <v>228</v>
      </c>
      <c r="D1080" s="185" t="s">
        <v>288</v>
      </c>
      <c r="E1080" s="185">
        <v>50993</v>
      </c>
      <c r="F1080" s="185" t="s">
        <v>149</v>
      </c>
      <c r="G1080" s="189">
        <v>109901</v>
      </c>
      <c r="H1080" s="184" t="s">
        <v>106</v>
      </c>
      <c r="I1080" s="184" t="s">
        <v>337</v>
      </c>
      <c r="J1080" s="184" t="s">
        <v>295</v>
      </c>
      <c r="K1080" s="184" t="s">
        <v>365</v>
      </c>
      <c r="L1080" s="185">
        <v>1</v>
      </c>
      <c r="M1080" s="186">
        <v>27862.74</v>
      </c>
      <c r="N1080" s="186">
        <v>0</v>
      </c>
      <c r="O1080" s="125">
        <f t="shared" si="82"/>
        <v>27862.74</v>
      </c>
      <c r="P1080" s="125"/>
    </row>
    <row r="1081" spans="1:16" ht="14.5" x14ac:dyDescent="0.35">
      <c r="A1081" s="184" t="s">
        <v>155</v>
      </c>
      <c r="B1081" s="184" t="s">
        <v>436</v>
      </c>
      <c r="C1081" s="184" t="s">
        <v>228</v>
      </c>
      <c r="D1081" s="185" t="s">
        <v>288</v>
      </c>
      <c r="E1081" s="185">
        <v>50994</v>
      </c>
      <c r="F1081" s="185" t="s">
        <v>149</v>
      </c>
      <c r="G1081" s="189">
        <v>109901</v>
      </c>
      <c r="H1081" s="184" t="s">
        <v>106</v>
      </c>
      <c r="I1081" s="184" t="s">
        <v>337</v>
      </c>
      <c r="J1081" s="184" t="s">
        <v>295</v>
      </c>
      <c r="K1081" s="184" t="s">
        <v>366</v>
      </c>
      <c r="L1081" s="185">
        <v>1</v>
      </c>
      <c r="M1081" s="186">
        <v>45994.98</v>
      </c>
      <c r="N1081" s="186">
        <v>0</v>
      </c>
      <c r="O1081" s="125">
        <f t="shared" si="82"/>
        <v>45994.98</v>
      </c>
      <c r="P1081" s="125"/>
    </row>
    <row r="1082" spans="1:16" ht="14.5" x14ac:dyDescent="0.35">
      <c r="A1082" s="184" t="s">
        <v>155</v>
      </c>
      <c r="B1082" s="184" t="s">
        <v>436</v>
      </c>
      <c r="C1082" s="184" t="s">
        <v>228</v>
      </c>
      <c r="D1082" s="185" t="s">
        <v>288</v>
      </c>
      <c r="E1082" s="185">
        <v>50995</v>
      </c>
      <c r="F1082" s="185" t="s">
        <v>149</v>
      </c>
      <c r="G1082" s="189">
        <v>109901</v>
      </c>
      <c r="H1082" s="184" t="s">
        <v>106</v>
      </c>
      <c r="I1082" s="184" t="s">
        <v>337</v>
      </c>
      <c r="J1082" s="184" t="s">
        <v>295</v>
      </c>
      <c r="K1082" s="184" t="s">
        <v>367</v>
      </c>
      <c r="L1082" s="185">
        <v>1</v>
      </c>
      <c r="M1082" s="186">
        <v>17886.939999999999</v>
      </c>
      <c r="N1082" s="186">
        <v>0</v>
      </c>
      <c r="O1082" s="125">
        <f t="shared" si="82"/>
        <v>17886.939999999999</v>
      </c>
      <c r="P1082" s="125"/>
    </row>
    <row r="1083" spans="1:16" ht="14.5" x14ac:dyDescent="0.35">
      <c r="A1083" s="184" t="s">
        <v>155</v>
      </c>
      <c r="B1083" s="184" t="s">
        <v>436</v>
      </c>
      <c r="C1083" s="184" t="s">
        <v>228</v>
      </c>
      <c r="D1083" s="185" t="s">
        <v>288</v>
      </c>
      <c r="E1083" s="185">
        <v>50996</v>
      </c>
      <c r="F1083" s="185" t="s">
        <v>149</v>
      </c>
      <c r="G1083" s="189">
        <v>109901</v>
      </c>
      <c r="H1083" s="184" t="s">
        <v>106</v>
      </c>
      <c r="I1083" s="184" t="s">
        <v>337</v>
      </c>
      <c r="J1083" s="184" t="s">
        <v>295</v>
      </c>
      <c r="K1083" s="184" t="s">
        <v>368</v>
      </c>
      <c r="L1083" s="185">
        <v>1</v>
      </c>
      <c r="M1083" s="186">
        <v>17886.939999999999</v>
      </c>
      <c r="N1083" s="186">
        <v>0</v>
      </c>
      <c r="O1083" s="125">
        <f t="shared" si="82"/>
        <v>17886.939999999999</v>
      </c>
      <c r="P1083" s="164"/>
    </row>
    <row r="1084" spans="1:16" ht="14.5" x14ac:dyDescent="0.35">
      <c r="A1084" s="184" t="s">
        <v>155</v>
      </c>
      <c r="B1084" s="184" t="s">
        <v>436</v>
      </c>
      <c r="C1084" s="184" t="s">
        <v>228</v>
      </c>
      <c r="D1084" s="185" t="s">
        <v>288</v>
      </c>
      <c r="E1084" s="185">
        <v>50997</v>
      </c>
      <c r="F1084" s="185" t="s">
        <v>149</v>
      </c>
      <c r="G1084" s="189">
        <v>109901</v>
      </c>
      <c r="H1084" s="184" t="s">
        <v>106</v>
      </c>
      <c r="I1084" s="184" t="s">
        <v>337</v>
      </c>
      <c r="J1084" s="184" t="s">
        <v>295</v>
      </c>
      <c r="K1084" s="184" t="s">
        <v>352</v>
      </c>
      <c r="L1084" s="185">
        <v>1</v>
      </c>
      <c r="M1084" s="186">
        <v>27085.94</v>
      </c>
      <c r="N1084" s="186">
        <v>0</v>
      </c>
      <c r="O1084" s="125">
        <f t="shared" si="82"/>
        <v>27085.94</v>
      </c>
      <c r="P1084" s="164"/>
    </row>
    <row r="1085" spans="1:16" ht="14.5" x14ac:dyDescent="0.35">
      <c r="A1085" s="184" t="s">
        <v>155</v>
      </c>
      <c r="B1085" s="184" t="s">
        <v>436</v>
      </c>
      <c r="C1085" s="184" t="s">
        <v>228</v>
      </c>
      <c r="D1085" s="185" t="s">
        <v>288</v>
      </c>
      <c r="E1085" s="185">
        <v>50998</v>
      </c>
      <c r="F1085" s="185" t="s">
        <v>149</v>
      </c>
      <c r="G1085" s="189">
        <v>109901</v>
      </c>
      <c r="H1085" s="184" t="s">
        <v>106</v>
      </c>
      <c r="I1085" s="184" t="s">
        <v>337</v>
      </c>
      <c r="J1085" s="184" t="s">
        <v>295</v>
      </c>
      <c r="K1085" s="184" t="s">
        <v>369</v>
      </c>
      <c r="L1085" s="185">
        <v>1</v>
      </c>
      <c r="M1085" s="186">
        <v>21975.38</v>
      </c>
      <c r="N1085" s="186">
        <v>0</v>
      </c>
      <c r="O1085" s="125">
        <f t="shared" si="82"/>
        <v>21975.38</v>
      </c>
      <c r="P1085" s="164"/>
    </row>
    <row r="1086" spans="1:16" ht="14.5" x14ac:dyDescent="0.35">
      <c r="A1086" s="184" t="s">
        <v>155</v>
      </c>
      <c r="B1086" s="184" t="s">
        <v>436</v>
      </c>
      <c r="C1086" s="184" t="s">
        <v>228</v>
      </c>
      <c r="D1086" s="185" t="s">
        <v>288</v>
      </c>
      <c r="E1086" s="185">
        <v>50999</v>
      </c>
      <c r="F1086" s="185" t="s">
        <v>149</v>
      </c>
      <c r="G1086" s="189">
        <v>109901</v>
      </c>
      <c r="H1086" s="184" t="s">
        <v>106</v>
      </c>
      <c r="I1086" s="184" t="s">
        <v>337</v>
      </c>
      <c r="J1086" s="184" t="s">
        <v>295</v>
      </c>
      <c r="K1086" s="184" t="s">
        <v>370</v>
      </c>
      <c r="L1086" s="185">
        <v>1</v>
      </c>
      <c r="M1086" s="186">
        <v>22997.49</v>
      </c>
      <c r="N1086" s="186">
        <v>0</v>
      </c>
      <c r="O1086" s="125">
        <f t="shared" si="82"/>
        <v>22997.49</v>
      </c>
      <c r="P1086" s="164"/>
    </row>
    <row r="1087" spans="1:16" ht="14.5" x14ac:dyDescent="0.35">
      <c r="A1087" s="184" t="s">
        <v>155</v>
      </c>
      <c r="B1087" s="184" t="s">
        <v>436</v>
      </c>
      <c r="C1087" s="184" t="s">
        <v>228</v>
      </c>
      <c r="D1087" s="185" t="s">
        <v>288</v>
      </c>
      <c r="E1087" s="185">
        <v>51000</v>
      </c>
      <c r="F1087" s="185" t="s">
        <v>149</v>
      </c>
      <c r="G1087" s="189">
        <v>109901</v>
      </c>
      <c r="H1087" s="184" t="s">
        <v>106</v>
      </c>
      <c r="I1087" s="184" t="s">
        <v>337</v>
      </c>
      <c r="J1087" s="184" t="s">
        <v>295</v>
      </c>
      <c r="K1087" s="184" t="s">
        <v>371</v>
      </c>
      <c r="L1087" s="185">
        <v>1</v>
      </c>
      <c r="M1087" s="186">
        <v>59282.42</v>
      </c>
      <c r="N1087" s="186">
        <v>0</v>
      </c>
      <c r="O1087" s="125">
        <f t="shared" si="82"/>
        <v>59282.42</v>
      </c>
      <c r="P1087" s="164"/>
    </row>
    <row r="1088" spans="1:16" ht="14.5" x14ac:dyDescent="0.35">
      <c r="A1088" s="184" t="s">
        <v>155</v>
      </c>
      <c r="B1088" s="184" t="s">
        <v>436</v>
      </c>
      <c r="C1088" s="184" t="s">
        <v>228</v>
      </c>
      <c r="D1088" s="185" t="s">
        <v>288</v>
      </c>
      <c r="E1088" s="185">
        <v>51001</v>
      </c>
      <c r="F1088" s="185" t="s">
        <v>149</v>
      </c>
      <c r="G1088" s="189">
        <v>109901</v>
      </c>
      <c r="H1088" s="184" t="s">
        <v>106</v>
      </c>
      <c r="I1088" s="184" t="s">
        <v>337</v>
      </c>
      <c r="J1088" s="184" t="s">
        <v>295</v>
      </c>
      <c r="K1088" s="184" t="s">
        <v>372</v>
      </c>
      <c r="L1088" s="185">
        <v>1</v>
      </c>
      <c r="M1088" s="186">
        <v>29641.21</v>
      </c>
      <c r="N1088" s="186">
        <v>0</v>
      </c>
      <c r="O1088" s="125">
        <f t="shared" si="82"/>
        <v>29641.21</v>
      </c>
      <c r="P1088" s="164"/>
    </row>
    <row r="1089" spans="1:17" ht="14.5" x14ac:dyDescent="0.35">
      <c r="A1089" s="184" t="s">
        <v>155</v>
      </c>
      <c r="B1089" s="184" t="s">
        <v>436</v>
      </c>
      <c r="C1089" s="184" t="s">
        <v>228</v>
      </c>
      <c r="D1089" s="185" t="s">
        <v>288</v>
      </c>
      <c r="E1089" s="185">
        <v>51002</v>
      </c>
      <c r="F1089" s="185" t="s">
        <v>149</v>
      </c>
      <c r="G1089" s="189">
        <v>109901</v>
      </c>
      <c r="H1089" s="184" t="s">
        <v>106</v>
      </c>
      <c r="I1089" s="184" t="s">
        <v>337</v>
      </c>
      <c r="J1089" s="184" t="s">
        <v>295</v>
      </c>
      <c r="K1089" s="184" t="s">
        <v>373</v>
      </c>
      <c r="L1089" s="185">
        <v>1</v>
      </c>
      <c r="M1089" s="186">
        <v>28108.05</v>
      </c>
      <c r="N1089" s="186">
        <v>0</v>
      </c>
      <c r="O1089" s="125">
        <f t="shared" si="82"/>
        <v>28108.05</v>
      </c>
      <c r="P1089" s="164"/>
    </row>
    <row r="1090" spans="1:17" ht="14.5" x14ac:dyDescent="0.35">
      <c r="A1090" s="184" t="s">
        <v>155</v>
      </c>
      <c r="B1090" s="184" t="s">
        <v>436</v>
      </c>
      <c r="C1090" s="184" t="s">
        <v>228</v>
      </c>
      <c r="D1090" s="185" t="s">
        <v>288</v>
      </c>
      <c r="E1090" s="185">
        <v>51003</v>
      </c>
      <c r="F1090" s="185" t="s">
        <v>149</v>
      </c>
      <c r="G1090" s="189">
        <v>109901</v>
      </c>
      <c r="H1090" s="184" t="s">
        <v>106</v>
      </c>
      <c r="I1090" s="184" t="s">
        <v>337</v>
      </c>
      <c r="J1090" s="184" t="s">
        <v>295</v>
      </c>
      <c r="K1090" s="184" t="s">
        <v>351</v>
      </c>
      <c r="L1090" s="185">
        <v>1</v>
      </c>
      <c r="M1090" s="186">
        <v>39862.32</v>
      </c>
      <c r="N1090" s="186">
        <v>0</v>
      </c>
      <c r="O1090" s="125">
        <f t="shared" si="82"/>
        <v>39862.32</v>
      </c>
      <c r="P1090" s="164"/>
    </row>
    <row r="1091" spans="1:17" ht="14.5" x14ac:dyDescent="0.35">
      <c r="A1091" s="184" t="s">
        <v>155</v>
      </c>
      <c r="B1091" s="184" t="s">
        <v>436</v>
      </c>
      <c r="C1091" s="184" t="s">
        <v>228</v>
      </c>
      <c r="D1091" s="185" t="s">
        <v>288</v>
      </c>
      <c r="E1091" s="185">
        <v>51004</v>
      </c>
      <c r="F1091" s="185" t="s">
        <v>149</v>
      </c>
      <c r="G1091" s="189">
        <v>109901</v>
      </c>
      <c r="H1091" s="184" t="s">
        <v>106</v>
      </c>
      <c r="I1091" s="184" t="s">
        <v>337</v>
      </c>
      <c r="J1091" s="184" t="s">
        <v>295</v>
      </c>
      <c r="K1091" s="184" t="s">
        <v>374</v>
      </c>
      <c r="L1091" s="185">
        <v>1</v>
      </c>
      <c r="M1091" s="186">
        <v>17886.939999999999</v>
      </c>
      <c r="N1091" s="186">
        <v>0</v>
      </c>
      <c r="O1091" s="125">
        <f t="shared" si="82"/>
        <v>17886.939999999999</v>
      </c>
      <c r="P1091" s="164"/>
    </row>
    <row r="1092" spans="1:17" ht="14.5" x14ac:dyDescent="0.35">
      <c r="A1092" s="184" t="s">
        <v>155</v>
      </c>
      <c r="B1092" s="184" t="s">
        <v>436</v>
      </c>
      <c r="C1092" s="184" t="s">
        <v>228</v>
      </c>
      <c r="D1092" s="185" t="s">
        <v>288</v>
      </c>
      <c r="E1092" s="185">
        <v>51005</v>
      </c>
      <c r="F1092" s="185" t="s">
        <v>149</v>
      </c>
      <c r="G1092" s="189">
        <v>109901</v>
      </c>
      <c r="H1092" s="184" t="s">
        <v>106</v>
      </c>
      <c r="I1092" s="184" t="s">
        <v>337</v>
      </c>
      <c r="J1092" s="184" t="s">
        <v>295</v>
      </c>
      <c r="K1092" s="184" t="s">
        <v>375</v>
      </c>
      <c r="L1092" s="185">
        <v>1</v>
      </c>
      <c r="M1092" s="186">
        <v>8541.92</v>
      </c>
      <c r="N1092" s="186">
        <v>0</v>
      </c>
      <c r="O1092" s="125">
        <f t="shared" si="82"/>
        <v>8541.92</v>
      </c>
      <c r="P1092" s="164"/>
    </row>
    <row r="1093" spans="1:17" ht="14.5" x14ac:dyDescent="0.35">
      <c r="A1093" s="184"/>
      <c r="B1093" s="184"/>
      <c r="C1093" s="184"/>
      <c r="D1093" s="185"/>
      <c r="E1093" s="185"/>
      <c r="F1093" s="185"/>
      <c r="G1093" s="184"/>
      <c r="H1093" s="184"/>
      <c r="I1093" s="184"/>
      <c r="J1093" s="184"/>
      <c r="K1093" s="184"/>
      <c r="L1093" s="185"/>
      <c r="M1093" s="187"/>
      <c r="N1093" s="187"/>
      <c r="O1093" s="125">
        <f t="shared" si="82"/>
        <v>0</v>
      </c>
      <c r="P1093" s="164"/>
      <c r="Q1093" s="73">
        <f t="shared" ref="Q1093:Q1123" si="84">M1093*$Q$7*1.141</f>
        <v>0</v>
      </c>
    </row>
    <row r="1094" spans="1:17" ht="14.5" x14ac:dyDescent="0.35">
      <c r="A1094" s="184"/>
      <c r="B1094" s="184"/>
      <c r="C1094" s="184"/>
      <c r="D1094" s="185"/>
      <c r="E1094" s="185"/>
      <c r="F1094" s="185"/>
      <c r="G1094" s="184"/>
      <c r="H1094" s="184"/>
      <c r="I1094" s="184"/>
      <c r="J1094" s="184"/>
      <c r="K1094" s="184"/>
      <c r="L1094" s="185"/>
      <c r="M1094" s="187"/>
      <c r="N1094" s="187"/>
      <c r="O1094" s="125">
        <f t="shared" si="82"/>
        <v>0</v>
      </c>
      <c r="P1094" s="164"/>
      <c r="Q1094" s="73">
        <f t="shared" si="84"/>
        <v>0</v>
      </c>
    </row>
    <row r="1095" spans="1:17" ht="14.5" x14ac:dyDescent="0.35">
      <c r="A1095" s="184"/>
      <c r="B1095" s="184"/>
      <c r="C1095" s="184"/>
      <c r="D1095" s="185"/>
      <c r="E1095" s="185"/>
      <c r="F1095" s="185"/>
      <c r="G1095" s="184"/>
      <c r="H1095" s="184"/>
      <c r="I1095" s="184"/>
      <c r="J1095" s="184"/>
      <c r="K1095" s="184"/>
      <c r="L1095" s="185"/>
      <c r="M1095" s="187"/>
      <c r="N1095" s="187"/>
      <c r="O1095" s="125">
        <f t="shared" si="82"/>
        <v>0</v>
      </c>
      <c r="P1095" s="164"/>
      <c r="Q1095" s="73">
        <f t="shared" si="84"/>
        <v>0</v>
      </c>
    </row>
    <row r="1096" spans="1:17" ht="14.5" x14ac:dyDescent="0.35">
      <c r="A1096" s="184"/>
      <c r="B1096" s="184"/>
      <c r="C1096" s="184"/>
      <c r="D1096" s="185"/>
      <c r="E1096" s="185"/>
      <c r="F1096" s="185"/>
      <c r="G1096" s="184"/>
      <c r="H1096" s="184"/>
      <c r="I1096" s="184"/>
      <c r="J1096" s="184"/>
      <c r="K1096" s="184"/>
      <c r="L1096" s="185"/>
      <c r="M1096" s="187"/>
      <c r="N1096" s="187"/>
      <c r="O1096" s="125">
        <f t="shared" ref="O1096:O1123" si="85">M1096-N1096</f>
        <v>0</v>
      </c>
      <c r="P1096" s="164"/>
      <c r="Q1096" s="73">
        <f t="shared" si="84"/>
        <v>0</v>
      </c>
    </row>
    <row r="1097" spans="1:17" ht="14.5" x14ac:dyDescent="0.35">
      <c r="A1097" s="184"/>
      <c r="B1097" s="184"/>
      <c r="C1097" s="184"/>
      <c r="D1097" s="185"/>
      <c r="E1097" s="185"/>
      <c r="F1097" s="185"/>
      <c r="G1097" s="184"/>
      <c r="H1097" s="184"/>
      <c r="I1097" s="184"/>
      <c r="J1097" s="184"/>
      <c r="K1097" s="184"/>
      <c r="L1097" s="185"/>
      <c r="M1097" s="187"/>
      <c r="N1097" s="187"/>
      <c r="O1097" s="125">
        <f t="shared" si="85"/>
        <v>0</v>
      </c>
      <c r="P1097" s="164"/>
      <c r="Q1097" s="73">
        <f t="shared" si="84"/>
        <v>0</v>
      </c>
    </row>
    <row r="1098" spans="1:17" ht="14.5" x14ac:dyDescent="0.35">
      <c r="A1098" s="184"/>
      <c r="B1098" s="184"/>
      <c r="C1098" s="184"/>
      <c r="D1098" s="185"/>
      <c r="E1098" s="185"/>
      <c r="F1098" s="185"/>
      <c r="G1098" s="184"/>
      <c r="H1098" s="184"/>
      <c r="I1098" s="184"/>
      <c r="J1098" s="184"/>
      <c r="K1098" s="184"/>
      <c r="L1098" s="185"/>
      <c r="M1098" s="187"/>
      <c r="N1098" s="187"/>
      <c r="O1098" s="125">
        <f t="shared" si="85"/>
        <v>0</v>
      </c>
      <c r="P1098" s="164"/>
      <c r="Q1098" s="73">
        <f t="shared" si="84"/>
        <v>0</v>
      </c>
    </row>
    <row r="1099" spans="1:17" ht="14.5" x14ac:dyDescent="0.35">
      <c r="A1099" s="184"/>
      <c r="B1099" s="184"/>
      <c r="C1099" s="184"/>
      <c r="D1099" s="185"/>
      <c r="E1099" s="185"/>
      <c r="F1099" s="185"/>
      <c r="G1099" s="184"/>
      <c r="H1099" s="184"/>
      <c r="I1099" s="184"/>
      <c r="J1099" s="184"/>
      <c r="K1099" s="184"/>
      <c r="L1099" s="185"/>
      <c r="M1099" s="187"/>
      <c r="N1099" s="187"/>
      <c r="O1099" s="125">
        <f t="shared" si="85"/>
        <v>0</v>
      </c>
      <c r="P1099" s="164"/>
      <c r="Q1099" s="73">
        <f t="shared" si="84"/>
        <v>0</v>
      </c>
    </row>
    <row r="1100" spans="1:17" ht="14.5" x14ac:dyDescent="0.35">
      <c r="A1100" s="184"/>
      <c r="B1100" s="184"/>
      <c r="C1100" s="184"/>
      <c r="D1100" s="185"/>
      <c r="E1100" s="185"/>
      <c r="F1100" s="185"/>
      <c r="G1100" s="184"/>
      <c r="H1100" s="184"/>
      <c r="I1100" s="184"/>
      <c r="J1100" s="184"/>
      <c r="K1100" s="184"/>
      <c r="L1100" s="185"/>
      <c r="M1100" s="187"/>
      <c r="N1100" s="187"/>
      <c r="O1100" s="125">
        <f t="shared" si="85"/>
        <v>0</v>
      </c>
      <c r="P1100" s="164"/>
      <c r="Q1100" s="73">
        <f t="shared" si="84"/>
        <v>0</v>
      </c>
    </row>
    <row r="1101" spans="1:17" ht="14.5" x14ac:dyDescent="0.35">
      <c r="A1101" s="184"/>
      <c r="B1101" s="184"/>
      <c r="C1101" s="184"/>
      <c r="D1101" s="185"/>
      <c r="E1101" s="185"/>
      <c r="F1101" s="185"/>
      <c r="G1101" s="184"/>
      <c r="H1101" s="184"/>
      <c r="I1101" s="184"/>
      <c r="J1101" s="184"/>
      <c r="K1101" s="184"/>
      <c r="L1101" s="185"/>
      <c r="M1101" s="187"/>
      <c r="N1101" s="187"/>
      <c r="O1101" s="125">
        <f t="shared" si="85"/>
        <v>0</v>
      </c>
      <c r="P1101" s="164"/>
      <c r="Q1101" s="73">
        <f t="shared" si="84"/>
        <v>0</v>
      </c>
    </row>
    <row r="1102" spans="1:17" x14ac:dyDescent="0.25">
      <c r="G1102" s="124"/>
      <c r="M1102" s="125"/>
      <c r="N1102" s="125"/>
      <c r="O1102" s="125">
        <f t="shared" si="85"/>
        <v>0</v>
      </c>
      <c r="P1102" s="164"/>
      <c r="Q1102" s="73">
        <f t="shared" si="84"/>
        <v>0</v>
      </c>
    </row>
    <row r="1103" spans="1:17" x14ac:dyDescent="0.25">
      <c r="G1103" s="124"/>
      <c r="M1103" s="125"/>
      <c r="N1103" s="125"/>
      <c r="O1103" s="125">
        <f t="shared" si="85"/>
        <v>0</v>
      </c>
      <c r="P1103" s="164"/>
      <c r="Q1103" s="73">
        <f t="shared" si="84"/>
        <v>0</v>
      </c>
    </row>
    <row r="1104" spans="1:17" x14ac:dyDescent="0.25">
      <c r="G1104" s="124"/>
      <c r="M1104" s="125"/>
      <c r="N1104" s="125"/>
      <c r="O1104" s="125">
        <f t="shared" si="85"/>
        <v>0</v>
      </c>
      <c r="P1104" s="164"/>
      <c r="Q1104" s="73">
        <f t="shared" si="84"/>
        <v>0</v>
      </c>
    </row>
    <row r="1105" spans="7:17" x14ac:dyDescent="0.25">
      <c r="G1105" s="124"/>
      <c r="M1105" s="125"/>
      <c r="N1105" s="125"/>
      <c r="O1105" s="125">
        <f t="shared" si="85"/>
        <v>0</v>
      </c>
      <c r="P1105" s="164"/>
      <c r="Q1105" s="73">
        <f t="shared" si="84"/>
        <v>0</v>
      </c>
    </row>
    <row r="1106" spans="7:17" x14ac:dyDescent="0.25">
      <c r="G1106" s="124"/>
      <c r="M1106" s="125"/>
      <c r="N1106" s="125"/>
      <c r="O1106" s="125">
        <f t="shared" si="85"/>
        <v>0</v>
      </c>
      <c r="P1106" s="164"/>
      <c r="Q1106" s="73">
        <f t="shared" si="84"/>
        <v>0</v>
      </c>
    </row>
    <row r="1107" spans="7:17" x14ac:dyDescent="0.25">
      <c r="G1107" s="124"/>
      <c r="M1107" s="125"/>
      <c r="N1107" s="125"/>
      <c r="O1107" s="125">
        <f t="shared" si="85"/>
        <v>0</v>
      </c>
      <c r="P1107" s="164"/>
      <c r="Q1107" s="73">
        <f t="shared" si="84"/>
        <v>0</v>
      </c>
    </row>
    <row r="1108" spans="7:17" x14ac:dyDescent="0.25">
      <c r="G1108" s="124"/>
      <c r="M1108" s="125"/>
      <c r="N1108" s="125"/>
      <c r="O1108" s="125">
        <f t="shared" si="85"/>
        <v>0</v>
      </c>
      <c r="P1108" s="164"/>
      <c r="Q1108" s="73">
        <f t="shared" si="84"/>
        <v>0</v>
      </c>
    </row>
    <row r="1109" spans="7:17" x14ac:dyDescent="0.25">
      <c r="G1109" s="124"/>
      <c r="M1109" s="125"/>
      <c r="N1109" s="125"/>
      <c r="O1109" s="125">
        <f t="shared" si="85"/>
        <v>0</v>
      </c>
      <c r="P1109" s="164"/>
      <c r="Q1109" s="73">
        <f t="shared" si="84"/>
        <v>0</v>
      </c>
    </row>
    <row r="1110" spans="7:17" x14ac:dyDescent="0.25">
      <c r="G1110" s="124"/>
      <c r="M1110" s="125"/>
      <c r="N1110" s="125"/>
      <c r="O1110" s="125">
        <f t="shared" si="85"/>
        <v>0</v>
      </c>
      <c r="P1110" s="164"/>
      <c r="Q1110" s="73">
        <f t="shared" si="84"/>
        <v>0</v>
      </c>
    </row>
    <row r="1111" spans="7:17" x14ac:dyDescent="0.25">
      <c r="G1111" s="124"/>
      <c r="M1111" s="125"/>
      <c r="N1111" s="125"/>
      <c r="O1111" s="125">
        <f t="shared" si="85"/>
        <v>0</v>
      </c>
      <c r="P1111" s="164"/>
      <c r="Q1111" s="73">
        <f t="shared" si="84"/>
        <v>0</v>
      </c>
    </row>
    <row r="1112" spans="7:17" x14ac:dyDescent="0.25">
      <c r="G1112" s="124"/>
      <c r="M1112" s="125"/>
      <c r="N1112" s="125"/>
      <c r="O1112" s="125">
        <f t="shared" si="85"/>
        <v>0</v>
      </c>
      <c r="P1112" s="164"/>
      <c r="Q1112" s="73">
        <f t="shared" si="84"/>
        <v>0</v>
      </c>
    </row>
    <row r="1113" spans="7:17" x14ac:dyDescent="0.25">
      <c r="G1113" s="124"/>
      <c r="M1113" s="125"/>
      <c r="N1113" s="125"/>
      <c r="O1113" s="125">
        <f t="shared" si="85"/>
        <v>0</v>
      </c>
      <c r="P1113" s="164"/>
      <c r="Q1113" s="73">
        <f t="shared" si="84"/>
        <v>0</v>
      </c>
    </row>
    <row r="1114" spans="7:17" x14ac:dyDescent="0.25">
      <c r="G1114" s="124"/>
      <c r="M1114" s="125"/>
      <c r="N1114" s="125"/>
      <c r="O1114" s="125">
        <f t="shared" si="85"/>
        <v>0</v>
      </c>
      <c r="P1114" s="164"/>
      <c r="Q1114" s="73">
        <f t="shared" si="84"/>
        <v>0</v>
      </c>
    </row>
    <row r="1115" spans="7:17" x14ac:dyDescent="0.25">
      <c r="G1115" s="124"/>
      <c r="M1115" s="125"/>
      <c r="N1115" s="125"/>
      <c r="O1115" s="125">
        <f t="shared" si="85"/>
        <v>0</v>
      </c>
      <c r="P1115" s="164"/>
      <c r="Q1115" s="73">
        <f t="shared" si="84"/>
        <v>0</v>
      </c>
    </row>
    <row r="1116" spans="7:17" x14ac:dyDescent="0.25">
      <c r="G1116" s="124"/>
      <c r="M1116" s="125"/>
      <c r="N1116" s="125"/>
      <c r="O1116" s="125">
        <f t="shared" si="85"/>
        <v>0</v>
      </c>
      <c r="P1116" s="164"/>
      <c r="Q1116" s="73">
        <f t="shared" si="84"/>
        <v>0</v>
      </c>
    </row>
    <row r="1117" spans="7:17" x14ac:dyDescent="0.25">
      <c r="G1117" s="124"/>
      <c r="M1117" s="125"/>
      <c r="N1117" s="125"/>
      <c r="O1117" s="125">
        <f t="shared" si="85"/>
        <v>0</v>
      </c>
      <c r="P1117" s="164"/>
      <c r="Q1117" s="73">
        <f t="shared" si="84"/>
        <v>0</v>
      </c>
    </row>
    <row r="1118" spans="7:17" x14ac:dyDescent="0.25">
      <c r="G1118" s="124"/>
      <c r="M1118" s="125"/>
      <c r="N1118" s="125"/>
      <c r="O1118" s="125">
        <f t="shared" si="85"/>
        <v>0</v>
      </c>
      <c r="P1118" s="164"/>
      <c r="Q1118" s="73">
        <f t="shared" si="84"/>
        <v>0</v>
      </c>
    </row>
    <row r="1119" spans="7:17" x14ac:dyDescent="0.25">
      <c r="G1119" s="124"/>
      <c r="M1119" s="125"/>
      <c r="N1119" s="125"/>
      <c r="O1119" s="125">
        <f t="shared" si="85"/>
        <v>0</v>
      </c>
      <c r="P1119" s="164"/>
      <c r="Q1119" s="73">
        <f t="shared" si="84"/>
        <v>0</v>
      </c>
    </row>
    <row r="1120" spans="7:17" x14ac:dyDescent="0.25">
      <c r="G1120" s="124"/>
      <c r="M1120" s="125"/>
      <c r="N1120" s="125"/>
      <c r="O1120" s="125">
        <f t="shared" si="85"/>
        <v>0</v>
      </c>
      <c r="P1120" s="164"/>
      <c r="Q1120" s="73">
        <f t="shared" si="84"/>
        <v>0</v>
      </c>
    </row>
    <row r="1121" spans="7:17" x14ac:dyDescent="0.25">
      <c r="G1121" s="124"/>
      <c r="M1121" s="125"/>
      <c r="N1121" s="125"/>
      <c r="O1121" s="125">
        <f t="shared" si="85"/>
        <v>0</v>
      </c>
      <c r="P1121" s="164"/>
      <c r="Q1121" s="73">
        <f t="shared" si="84"/>
        <v>0</v>
      </c>
    </row>
    <row r="1122" spans="7:17" x14ac:dyDescent="0.25">
      <c r="G1122" s="124"/>
      <c r="M1122" s="125"/>
      <c r="N1122" s="125"/>
      <c r="O1122" s="125">
        <f t="shared" si="85"/>
        <v>0</v>
      </c>
      <c r="P1122" s="164"/>
      <c r="Q1122" s="73">
        <f t="shared" si="84"/>
        <v>0</v>
      </c>
    </row>
    <row r="1123" spans="7:17" x14ac:dyDescent="0.25">
      <c r="G1123" s="124"/>
      <c r="M1123" s="125"/>
      <c r="N1123" s="125"/>
      <c r="O1123" s="125">
        <f t="shared" si="85"/>
        <v>0</v>
      </c>
      <c r="P1123" s="164"/>
      <c r="Q1123" s="73">
        <f t="shared" si="84"/>
        <v>0</v>
      </c>
    </row>
    <row r="1124" spans="7:17" x14ac:dyDescent="0.25">
      <c r="P1124" s="164"/>
    </row>
    <row r="1125" spans="7:17" x14ac:dyDescent="0.25">
      <c r="P1125" s="164"/>
    </row>
    <row r="1126" spans="7:17" x14ac:dyDescent="0.25">
      <c r="P1126" s="164"/>
    </row>
    <row r="1127" spans="7:17" x14ac:dyDescent="0.25">
      <c r="P1127" s="164"/>
      <c r="Q1127" s="164"/>
    </row>
    <row r="1128" spans="7:17" x14ac:dyDescent="0.25">
      <c r="P1128" s="164"/>
      <c r="Q1128" s="164"/>
    </row>
    <row r="1129" spans="7:17" x14ac:dyDescent="0.25">
      <c r="P1129" s="164"/>
      <c r="Q1129" s="164"/>
    </row>
    <row r="1130" spans="7:17" x14ac:dyDescent="0.25">
      <c r="P1130" s="164"/>
      <c r="Q1130" s="164"/>
    </row>
    <row r="1131" spans="7:17" x14ac:dyDescent="0.25">
      <c r="P1131" s="164"/>
      <c r="Q1131" s="164"/>
    </row>
    <row r="1132" spans="7:17" x14ac:dyDescent="0.25">
      <c r="P1132" s="164"/>
      <c r="Q1132" s="164"/>
    </row>
    <row r="1133" spans="7:17" x14ac:dyDescent="0.25">
      <c r="P1133" s="164"/>
      <c r="Q1133" s="164"/>
    </row>
    <row r="1134" spans="7:17" x14ac:dyDescent="0.25">
      <c r="P1134" s="164"/>
      <c r="Q1134" s="164"/>
    </row>
    <row r="1135" spans="7:17" x14ac:dyDescent="0.25">
      <c r="P1135" s="164"/>
      <c r="Q1135" s="164"/>
    </row>
    <row r="1136" spans="7:17" x14ac:dyDescent="0.25">
      <c r="P1136" s="164"/>
      <c r="Q1136" s="164"/>
    </row>
    <row r="1137" spans="16:17" x14ac:dyDescent="0.25">
      <c r="P1137" s="164"/>
      <c r="Q1137" s="164"/>
    </row>
    <row r="1138" spans="16:17" x14ac:dyDescent="0.25">
      <c r="P1138" s="164"/>
      <c r="Q1138" s="164"/>
    </row>
    <row r="1139" spans="16:17" x14ac:dyDescent="0.25">
      <c r="P1139" s="164"/>
      <c r="Q1139" s="164"/>
    </row>
    <row r="1140" spans="16:17" x14ac:dyDescent="0.25">
      <c r="P1140" s="164"/>
      <c r="Q1140" s="164"/>
    </row>
    <row r="1141" spans="16:17" x14ac:dyDescent="0.25">
      <c r="P1141" s="164"/>
      <c r="Q1141" s="164"/>
    </row>
    <row r="1142" spans="16:17" x14ac:dyDescent="0.25">
      <c r="P1142" s="164"/>
      <c r="Q1142" s="164"/>
    </row>
    <row r="1143" spans="16:17" x14ac:dyDescent="0.25">
      <c r="P1143" s="164"/>
      <c r="Q1143" s="164"/>
    </row>
    <row r="1144" spans="16:17" x14ac:dyDescent="0.25">
      <c r="P1144" s="164"/>
      <c r="Q1144" s="164"/>
    </row>
    <row r="1145" spans="16:17" x14ac:dyDescent="0.25">
      <c r="P1145" s="164"/>
      <c r="Q1145" s="164"/>
    </row>
    <row r="1146" spans="16:17" x14ac:dyDescent="0.25">
      <c r="P1146" s="164"/>
      <c r="Q1146" s="164"/>
    </row>
    <row r="1147" spans="16:17" x14ac:dyDescent="0.25">
      <c r="P1147" s="164"/>
      <c r="Q1147" s="164"/>
    </row>
    <row r="1148" spans="16:17" x14ac:dyDescent="0.25">
      <c r="P1148" s="164"/>
      <c r="Q1148" s="164"/>
    </row>
    <row r="1149" spans="16:17" x14ac:dyDescent="0.25">
      <c r="P1149" s="164"/>
      <c r="Q1149" s="164"/>
    </row>
    <row r="1150" spans="16:17" x14ac:dyDescent="0.25">
      <c r="P1150" s="164"/>
      <c r="Q1150" s="164"/>
    </row>
    <row r="1151" spans="16:17" x14ac:dyDescent="0.25">
      <c r="P1151" s="164"/>
      <c r="Q1151" s="164"/>
    </row>
    <row r="1152" spans="16:17" x14ac:dyDescent="0.25">
      <c r="P1152" s="164"/>
      <c r="Q1152" s="164"/>
    </row>
    <row r="1153" spans="16:17" x14ac:dyDescent="0.25">
      <c r="P1153" s="164"/>
      <c r="Q1153" s="164"/>
    </row>
    <row r="1154" spans="16:17" x14ac:dyDescent="0.25">
      <c r="P1154" s="164"/>
      <c r="Q1154" s="164"/>
    </row>
    <row r="1155" spans="16:17" x14ac:dyDescent="0.25">
      <c r="P1155" s="164"/>
      <c r="Q1155" s="164"/>
    </row>
    <row r="1156" spans="16:17" x14ac:dyDescent="0.25">
      <c r="P1156" s="164"/>
      <c r="Q1156" s="164"/>
    </row>
    <row r="1157" spans="16:17" x14ac:dyDescent="0.25">
      <c r="P1157" s="164"/>
      <c r="Q1157" s="164"/>
    </row>
    <row r="1158" spans="16:17" x14ac:dyDescent="0.25">
      <c r="P1158" s="164"/>
      <c r="Q1158" s="164"/>
    </row>
    <row r="1159" spans="16:17" x14ac:dyDescent="0.25">
      <c r="P1159" s="164"/>
      <c r="Q1159" s="164"/>
    </row>
    <row r="1160" spans="16:17" x14ac:dyDescent="0.25">
      <c r="P1160" s="164"/>
      <c r="Q1160" s="164"/>
    </row>
    <row r="1161" spans="16:17" x14ac:dyDescent="0.25">
      <c r="P1161" s="164"/>
      <c r="Q1161" s="164"/>
    </row>
    <row r="1162" spans="16:17" x14ac:dyDescent="0.25">
      <c r="P1162" s="164"/>
      <c r="Q1162" s="164"/>
    </row>
    <row r="1163" spans="16:17" x14ac:dyDescent="0.25">
      <c r="P1163" s="164"/>
      <c r="Q1163" s="164"/>
    </row>
    <row r="1164" spans="16:17" x14ac:dyDescent="0.25">
      <c r="P1164" s="164"/>
      <c r="Q1164" s="164"/>
    </row>
    <row r="1165" spans="16:17" x14ac:dyDescent="0.25">
      <c r="P1165" s="164"/>
      <c r="Q1165" s="164"/>
    </row>
    <row r="1166" spans="16:17" x14ac:dyDescent="0.25">
      <c r="P1166" s="164"/>
      <c r="Q1166" s="164"/>
    </row>
    <row r="1167" spans="16:17" x14ac:dyDescent="0.25">
      <c r="P1167" s="164"/>
      <c r="Q1167" s="164"/>
    </row>
    <row r="1168" spans="16:17" x14ac:dyDescent="0.25">
      <c r="P1168" s="164"/>
      <c r="Q1168" s="164"/>
    </row>
    <row r="1169" spans="16:17" x14ac:dyDescent="0.25">
      <c r="P1169" s="164"/>
      <c r="Q1169" s="164"/>
    </row>
    <row r="1170" spans="16:17" x14ac:dyDescent="0.25">
      <c r="P1170" s="164"/>
      <c r="Q1170" s="164"/>
    </row>
    <row r="1171" spans="16:17" x14ac:dyDescent="0.25">
      <c r="P1171" s="164"/>
      <c r="Q1171" s="164"/>
    </row>
    <row r="1172" spans="16:17" x14ac:dyDescent="0.25">
      <c r="P1172" s="164"/>
      <c r="Q1172" s="164"/>
    </row>
    <row r="1173" spans="16:17" x14ac:dyDescent="0.25">
      <c r="P1173" s="164"/>
      <c r="Q1173" s="164"/>
    </row>
    <row r="1174" spans="16:17" x14ac:dyDescent="0.25">
      <c r="P1174" s="164"/>
      <c r="Q1174" s="164"/>
    </row>
    <row r="1175" spans="16:17" x14ac:dyDescent="0.25">
      <c r="P1175" s="164"/>
      <c r="Q1175" s="164"/>
    </row>
    <row r="1176" spans="16:17" x14ac:dyDescent="0.25">
      <c r="P1176" s="164"/>
      <c r="Q1176" s="164"/>
    </row>
    <row r="1177" spans="16:17" x14ac:dyDescent="0.25">
      <c r="P1177" s="164"/>
      <c r="Q1177" s="164"/>
    </row>
    <row r="1178" spans="16:17" x14ac:dyDescent="0.25">
      <c r="P1178" s="164"/>
      <c r="Q1178" s="164"/>
    </row>
    <row r="1179" spans="16:17" x14ac:dyDescent="0.25">
      <c r="P1179" s="164"/>
      <c r="Q1179" s="164"/>
    </row>
    <row r="1180" spans="16:17" x14ac:dyDescent="0.25">
      <c r="P1180" s="164"/>
      <c r="Q1180" s="164"/>
    </row>
    <row r="1181" spans="16:17" x14ac:dyDescent="0.25">
      <c r="P1181" s="164"/>
      <c r="Q1181" s="164"/>
    </row>
    <row r="1182" spans="16:17" x14ac:dyDescent="0.25">
      <c r="P1182" s="164"/>
      <c r="Q1182" s="164"/>
    </row>
    <row r="1183" spans="16:17" x14ac:dyDescent="0.25">
      <c r="P1183" s="164"/>
      <c r="Q1183" s="164"/>
    </row>
    <row r="1184" spans="16:17" x14ac:dyDescent="0.25">
      <c r="P1184" s="164"/>
      <c r="Q1184" s="164"/>
    </row>
    <row r="1185" spans="16:17" x14ac:dyDescent="0.25">
      <c r="P1185" s="164"/>
      <c r="Q1185" s="164"/>
    </row>
    <row r="1186" spans="16:17" x14ac:dyDescent="0.25">
      <c r="P1186" s="164"/>
      <c r="Q1186" s="164"/>
    </row>
    <row r="1187" spans="16:17" x14ac:dyDescent="0.25">
      <c r="P1187" s="164"/>
      <c r="Q1187" s="164"/>
    </row>
    <row r="1188" spans="16:17" x14ac:dyDescent="0.25">
      <c r="P1188" s="164"/>
      <c r="Q1188" s="164"/>
    </row>
    <row r="1189" spans="16:17" x14ac:dyDescent="0.25">
      <c r="P1189" s="164"/>
      <c r="Q1189" s="164"/>
    </row>
    <row r="1190" spans="16:17" x14ac:dyDescent="0.25">
      <c r="P1190" s="164"/>
      <c r="Q1190" s="164"/>
    </row>
    <row r="1191" spans="16:17" x14ac:dyDescent="0.25">
      <c r="P1191" s="164"/>
      <c r="Q1191" s="164"/>
    </row>
    <row r="1192" spans="16:17" x14ac:dyDescent="0.25">
      <c r="P1192" s="164"/>
      <c r="Q1192" s="164"/>
    </row>
    <row r="1193" spans="16:17" x14ac:dyDescent="0.25">
      <c r="P1193" s="164"/>
      <c r="Q1193" s="164"/>
    </row>
    <row r="1194" spans="16:17" x14ac:dyDescent="0.25">
      <c r="P1194" s="164"/>
      <c r="Q1194" s="164"/>
    </row>
    <row r="1195" spans="16:17" x14ac:dyDescent="0.25">
      <c r="P1195" s="164"/>
      <c r="Q1195" s="164"/>
    </row>
    <row r="1196" spans="16:17" x14ac:dyDescent="0.25">
      <c r="P1196" s="164"/>
      <c r="Q1196" s="164"/>
    </row>
    <row r="1197" spans="16:17" x14ac:dyDescent="0.25">
      <c r="P1197" s="164"/>
      <c r="Q1197" s="164"/>
    </row>
    <row r="1198" spans="16:17" x14ac:dyDescent="0.25">
      <c r="P1198" s="164"/>
      <c r="Q1198" s="164"/>
    </row>
    <row r="1199" spans="16:17" x14ac:dyDescent="0.25">
      <c r="P1199" s="164"/>
      <c r="Q1199" s="164"/>
    </row>
    <row r="1200" spans="16:17" x14ac:dyDescent="0.25">
      <c r="P1200" s="164"/>
      <c r="Q1200" s="164"/>
    </row>
    <row r="1201" spans="16:17" x14ac:dyDescent="0.25">
      <c r="P1201" s="164"/>
      <c r="Q1201" s="164"/>
    </row>
    <row r="1202" spans="16:17" x14ac:dyDescent="0.25">
      <c r="P1202" s="164"/>
      <c r="Q1202" s="164"/>
    </row>
    <row r="1203" spans="16:17" x14ac:dyDescent="0.25">
      <c r="P1203" s="164"/>
      <c r="Q1203" s="164"/>
    </row>
    <row r="1204" spans="16:17" x14ac:dyDescent="0.25">
      <c r="P1204" s="164"/>
      <c r="Q1204" s="164"/>
    </row>
    <row r="1205" spans="16:17" x14ac:dyDescent="0.25">
      <c r="P1205" s="164"/>
      <c r="Q1205" s="164"/>
    </row>
    <row r="1206" spans="16:17" x14ac:dyDescent="0.25">
      <c r="P1206" s="164"/>
      <c r="Q1206" s="164"/>
    </row>
    <row r="1207" spans="16:17" x14ac:dyDescent="0.25">
      <c r="P1207" s="164"/>
      <c r="Q1207" s="164"/>
    </row>
    <row r="1208" spans="16:17" x14ac:dyDescent="0.25">
      <c r="P1208" s="164"/>
      <c r="Q1208" s="164"/>
    </row>
    <row r="1209" spans="16:17" x14ac:dyDescent="0.25">
      <c r="P1209" s="164"/>
      <c r="Q1209" s="164"/>
    </row>
    <row r="1210" spans="16:17" x14ac:dyDescent="0.25">
      <c r="P1210" s="164"/>
      <c r="Q1210" s="164"/>
    </row>
    <row r="1211" spans="16:17" x14ac:dyDescent="0.25">
      <c r="P1211" s="164"/>
      <c r="Q1211" s="164"/>
    </row>
    <row r="1212" spans="16:17" x14ac:dyDescent="0.25">
      <c r="P1212" s="164"/>
      <c r="Q1212" s="164"/>
    </row>
    <row r="1213" spans="16:17" x14ac:dyDescent="0.25">
      <c r="P1213" s="164"/>
      <c r="Q1213" s="164"/>
    </row>
    <row r="1214" spans="16:17" x14ac:dyDescent="0.25">
      <c r="P1214" s="164"/>
      <c r="Q1214" s="164"/>
    </row>
    <row r="1215" spans="16:17" x14ac:dyDescent="0.25">
      <c r="P1215" s="164"/>
      <c r="Q1215" s="164"/>
    </row>
    <row r="1216" spans="16:17" x14ac:dyDescent="0.25">
      <c r="P1216" s="164"/>
      <c r="Q1216" s="164"/>
    </row>
    <row r="1217" spans="16:17" x14ac:dyDescent="0.25">
      <c r="P1217" s="164"/>
      <c r="Q1217" s="164"/>
    </row>
    <row r="1218" spans="16:17" x14ac:dyDescent="0.25">
      <c r="P1218" s="164"/>
      <c r="Q1218" s="164"/>
    </row>
    <row r="1219" spans="16:17" x14ac:dyDescent="0.25">
      <c r="P1219" s="164"/>
      <c r="Q1219" s="164"/>
    </row>
    <row r="1220" spans="16:17" x14ac:dyDescent="0.25">
      <c r="P1220" s="164"/>
      <c r="Q1220" s="164"/>
    </row>
    <row r="1221" spans="16:17" x14ac:dyDescent="0.25">
      <c r="P1221" s="164"/>
      <c r="Q1221" s="164"/>
    </row>
    <row r="1222" spans="16:17" x14ac:dyDescent="0.25">
      <c r="P1222" s="164"/>
      <c r="Q1222" s="164"/>
    </row>
    <row r="1223" spans="16:17" x14ac:dyDescent="0.25">
      <c r="P1223" s="164"/>
      <c r="Q1223" s="164"/>
    </row>
    <row r="1224" spans="16:17" x14ac:dyDescent="0.25">
      <c r="P1224" s="164"/>
      <c r="Q1224" s="164"/>
    </row>
    <row r="1225" spans="16:17" x14ac:dyDescent="0.25">
      <c r="P1225" s="164"/>
      <c r="Q1225" s="164"/>
    </row>
    <row r="1226" spans="16:17" x14ac:dyDescent="0.25">
      <c r="P1226" s="164"/>
      <c r="Q1226" s="164"/>
    </row>
    <row r="1227" spans="16:17" x14ac:dyDescent="0.25">
      <c r="P1227" s="164"/>
      <c r="Q1227" s="164"/>
    </row>
    <row r="1228" spans="16:17" x14ac:dyDescent="0.25">
      <c r="P1228" s="164"/>
      <c r="Q1228" s="164"/>
    </row>
    <row r="1229" spans="16:17" x14ac:dyDescent="0.25">
      <c r="P1229" s="164"/>
      <c r="Q1229" s="164"/>
    </row>
    <row r="1230" spans="16:17" x14ac:dyDescent="0.25">
      <c r="P1230" s="164"/>
      <c r="Q1230" s="164"/>
    </row>
    <row r="1231" spans="16:17" x14ac:dyDescent="0.25">
      <c r="P1231" s="164"/>
      <c r="Q1231" s="164"/>
    </row>
    <row r="1232" spans="16:17" x14ac:dyDescent="0.25">
      <c r="P1232" s="164"/>
      <c r="Q1232" s="164"/>
    </row>
    <row r="1233" spans="16:17" x14ac:dyDescent="0.25">
      <c r="P1233" s="164"/>
      <c r="Q1233" s="164"/>
    </row>
    <row r="1234" spans="16:17" x14ac:dyDescent="0.25">
      <c r="P1234" s="164"/>
      <c r="Q1234" s="164"/>
    </row>
    <row r="1235" spans="16:17" x14ac:dyDescent="0.25">
      <c r="P1235" s="164"/>
      <c r="Q1235" s="164"/>
    </row>
    <row r="1236" spans="16:17" x14ac:dyDescent="0.25">
      <c r="P1236" s="164"/>
      <c r="Q1236" s="164"/>
    </row>
    <row r="1237" spans="16:17" x14ac:dyDescent="0.25">
      <c r="P1237" s="164"/>
      <c r="Q1237" s="164"/>
    </row>
    <row r="1238" spans="16:17" x14ac:dyDescent="0.25">
      <c r="P1238" s="164"/>
      <c r="Q1238" s="164"/>
    </row>
    <row r="1239" spans="16:17" x14ac:dyDescent="0.25">
      <c r="P1239" s="164"/>
      <c r="Q1239" s="164"/>
    </row>
    <row r="1240" spans="16:17" x14ac:dyDescent="0.25">
      <c r="P1240" s="164"/>
      <c r="Q1240" s="164"/>
    </row>
    <row r="1241" spans="16:17" x14ac:dyDescent="0.25">
      <c r="P1241" s="164"/>
      <c r="Q1241" s="164"/>
    </row>
    <row r="1242" spans="16:17" x14ac:dyDescent="0.25">
      <c r="P1242" s="164"/>
      <c r="Q1242" s="164"/>
    </row>
    <row r="1243" spans="16:17" x14ac:dyDescent="0.25">
      <c r="P1243" s="164"/>
      <c r="Q1243" s="164"/>
    </row>
    <row r="1244" spans="16:17" x14ac:dyDescent="0.25">
      <c r="P1244" s="164"/>
      <c r="Q1244" s="164"/>
    </row>
    <row r="1245" spans="16:17" x14ac:dyDescent="0.25">
      <c r="P1245" s="164"/>
      <c r="Q1245" s="164"/>
    </row>
    <row r="1246" spans="16:17" x14ac:dyDescent="0.25">
      <c r="P1246" s="164"/>
      <c r="Q1246" s="164"/>
    </row>
    <row r="1247" spans="16:17" x14ac:dyDescent="0.25">
      <c r="P1247" s="164"/>
      <c r="Q1247" s="164"/>
    </row>
    <row r="1248" spans="16:17" x14ac:dyDescent="0.25">
      <c r="P1248" s="164"/>
      <c r="Q1248" s="164"/>
    </row>
    <row r="1249" spans="16:17" x14ac:dyDescent="0.25">
      <c r="P1249" s="164"/>
      <c r="Q1249" s="164"/>
    </row>
    <row r="1250" spans="16:17" x14ac:dyDescent="0.25">
      <c r="P1250" s="164"/>
      <c r="Q1250" s="164"/>
    </row>
    <row r="1251" spans="16:17" x14ac:dyDescent="0.25">
      <c r="P1251" s="164"/>
      <c r="Q1251" s="164"/>
    </row>
    <row r="1252" spans="16:17" x14ac:dyDescent="0.25">
      <c r="P1252" s="164"/>
      <c r="Q1252" s="164"/>
    </row>
    <row r="1253" spans="16:17" x14ac:dyDescent="0.25">
      <c r="P1253" s="164"/>
      <c r="Q1253" s="164"/>
    </row>
    <row r="1254" spans="16:17" x14ac:dyDescent="0.25">
      <c r="P1254" s="164"/>
      <c r="Q1254" s="164"/>
    </row>
    <row r="1255" spans="16:17" x14ac:dyDescent="0.25">
      <c r="P1255" s="164"/>
      <c r="Q1255" s="164"/>
    </row>
    <row r="1256" spans="16:17" x14ac:dyDescent="0.25">
      <c r="P1256" s="164"/>
      <c r="Q1256" s="164"/>
    </row>
    <row r="1257" spans="16:17" x14ac:dyDescent="0.25">
      <c r="P1257" s="164"/>
      <c r="Q1257" s="164"/>
    </row>
    <row r="1258" spans="16:17" x14ac:dyDescent="0.25">
      <c r="P1258" s="164"/>
      <c r="Q1258" s="164"/>
    </row>
    <row r="1259" spans="16:17" x14ac:dyDescent="0.25">
      <c r="P1259" s="164"/>
      <c r="Q1259" s="164"/>
    </row>
    <row r="1260" spans="16:17" x14ac:dyDescent="0.25">
      <c r="P1260" s="164"/>
      <c r="Q1260" s="164"/>
    </row>
    <row r="1261" spans="16:17" x14ac:dyDescent="0.25">
      <c r="P1261" s="164"/>
      <c r="Q1261" s="164"/>
    </row>
    <row r="1262" spans="16:17" x14ac:dyDescent="0.25">
      <c r="P1262" s="164"/>
      <c r="Q1262" s="164"/>
    </row>
    <row r="1263" spans="16:17" x14ac:dyDescent="0.25">
      <c r="P1263" s="164"/>
      <c r="Q1263" s="164"/>
    </row>
    <row r="1264" spans="16:17" x14ac:dyDescent="0.25">
      <c r="P1264" s="164"/>
      <c r="Q1264" s="164"/>
    </row>
    <row r="1265" spans="16:17" x14ac:dyDescent="0.25">
      <c r="P1265" s="164"/>
      <c r="Q1265" s="164"/>
    </row>
    <row r="1266" spans="16:17" x14ac:dyDescent="0.25">
      <c r="P1266" s="164"/>
      <c r="Q1266" s="164"/>
    </row>
    <row r="1267" spans="16:17" x14ac:dyDescent="0.25">
      <c r="P1267" s="164"/>
      <c r="Q1267" s="164"/>
    </row>
    <row r="1268" spans="16:17" x14ac:dyDescent="0.25">
      <c r="P1268" s="164"/>
      <c r="Q1268" s="164"/>
    </row>
    <row r="1269" spans="16:17" x14ac:dyDescent="0.25">
      <c r="P1269" s="164"/>
      <c r="Q1269" s="164"/>
    </row>
    <row r="1270" spans="16:17" x14ac:dyDescent="0.25">
      <c r="P1270" s="164"/>
      <c r="Q1270" s="164"/>
    </row>
    <row r="1271" spans="16:17" x14ac:dyDescent="0.25">
      <c r="P1271" s="164"/>
      <c r="Q1271" s="164"/>
    </row>
    <row r="1272" spans="16:17" x14ac:dyDescent="0.25">
      <c r="P1272" s="164"/>
      <c r="Q1272" s="164"/>
    </row>
    <row r="1273" spans="16:17" x14ac:dyDescent="0.25">
      <c r="P1273" s="164"/>
      <c r="Q1273" s="164"/>
    </row>
    <row r="1274" spans="16:17" x14ac:dyDescent="0.25">
      <c r="P1274" s="164"/>
      <c r="Q1274" s="164"/>
    </row>
    <row r="1275" spans="16:17" x14ac:dyDescent="0.25">
      <c r="P1275" s="164"/>
      <c r="Q1275" s="164"/>
    </row>
    <row r="1276" spans="16:17" x14ac:dyDescent="0.25">
      <c r="P1276" s="164"/>
      <c r="Q1276" s="164"/>
    </row>
    <row r="1277" spans="16:17" x14ac:dyDescent="0.25">
      <c r="P1277" s="164"/>
      <c r="Q1277" s="164"/>
    </row>
    <row r="1278" spans="16:17" x14ac:dyDescent="0.25">
      <c r="P1278" s="164"/>
      <c r="Q1278" s="164"/>
    </row>
    <row r="1279" spans="16:17" x14ac:dyDescent="0.25">
      <c r="P1279" s="164"/>
      <c r="Q1279" s="164"/>
    </row>
    <row r="1280" spans="16:17" x14ac:dyDescent="0.25">
      <c r="P1280" s="164"/>
      <c r="Q1280" s="164"/>
    </row>
    <row r="1281" spans="16:17" x14ac:dyDescent="0.25">
      <c r="P1281" s="164"/>
      <c r="Q1281" s="164"/>
    </row>
    <row r="1282" spans="16:17" x14ac:dyDescent="0.25">
      <c r="P1282" s="164"/>
      <c r="Q1282" s="164"/>
    </row>
    <row r="1283" spans="16:17" x14ac:dyDescent="0.25">
      <c r="P1283" s="164"/>
      <c r="Q1283" s="164"/>
    </row>
    <row r="1284" spans="16:17" x14ac:dyDescent="0.25">
      <c r="P1284" s="164"/>
      <c r="Q1284" s="164"/>
    </row>
    <row r="1285" spans="16:17" x14ac:dyDescent="0.25">
      <c r="P1285" s="164"/>
      <c r="Q1285" s="164"/>
    </row>
    <row r="1286" spans="16:17" x14ac:dyDescent="0.25">
      <c r="P1286" s="164"/>
      <c r="Q1286" s="164"/>
    </row>
    <row r="1287" spans="16:17" x14ac:dyDescent="0.25">
      <c r="P1287" s="164"/>
      <c r="Q1287" s="164"/>
    </row>
    <row r="1288" spans="16:17" x14ac:dyDescent="0.25">
      <c r="P1288" s="164"/>
      <c r="Q1288" s="164"/>
    </row>
    <row r="1289" spans="16:17" x14ac:dyDescent="0.25">
      <c r="P1289" s="164"/>
      <c r="Q1289" s="164"/>
    </row>
    <row r="1290" spans="16:17" x14ac:dyDescent="0.25">
      <c r="P1290" s="164"/>
      <c r="Q1290" s="164"/>
    </row>
    <row r="1291" spans="16:17" x14ac:dyDescent="0.25">
      <c r="P1291" s="164"/>
      <c r="Q1291" s="164"/>
    </row>
    <row r="1292" spans="16:17" x14ac:dyDescent="0.25">
      <c r="P1292" s="164"/>
      <c r="Q1292" s="164"/>
    </row>
    <row r="1293" spans="16:17" x14ac:dyDescent="0.25">
      <c r="P1293" s="164"/>
      <c r="Q1293" s="164"/>
    </row>
    <row r="1294" spans="16:17" x14ac:dyDescent="0.25">
      <c r="P1294" s="164"/>
      <c r="Q1294" s="164"/>
    </row>
    <row r="1295" spans="16:17" x14ac:dyDescent="0.25">
      <c r="P1295" s="164"/>
      <c r="Q1295" s="164"/>
    </row>
    <row r="1296" spans="16:17" x14ac:dyDescent="0.25">
      <c r="P1296" s="164"/>
      <c r="Q1296" s="164"/>
    </row>
    <row r="1297" spans="16:17" x14ac:dyDescent="0.25">
      <c r="P1297" s="164"/>
      <c r="Q1297" s="164"/>
    </row>
    <row r="1298" spans="16:17" x14ac:dyDescent="0.25">
      <c r="P1298" s="164"/>
      <c r="Q1298" s="164"/>
    </row>
    <row r="1299" spans="16:17" x14ac:dyDescent="0.25">
      <c r="P1299" s="164"/>
      <c r="Q1299" s="164"/>
    </row>
    <row r="1300" spans="16:17" x14ac:dyDescent="0.25">
      <c r="P1300" s="164"/>
      <c r="Q1300" s="164"/>
    </row>
    <row r="1301" spans="16:17" x14ac:dyDescent="0.25">
      <c r="P1301" s="164"/>
      <c r="Q1301" s="164"/>
    </row>
    <row r="1302" spans="16:17" x14ac:dyDescent="0.25">
      <c r="P1302" s="164"/>
      <c r="Q1302" s="164"/>
    </row>
    <row r="1303" spans="16:17" x14ac:dyDescent="0.25">
      <c r="P1303" s="164"/>
      <c r="Q1303" s="164"/>
    </row>
    <row r="1304" spans="16:17" x14ac:dyDescent="0.25">
      <c r="P1304" s="164"/>
      <c r="Q1304" s="164"/>
    </row>
    <row r="1305" spans="16:17" x14ac:dyDescent="0.25">
      <c r="P1305" s="164"/>
      <c r="Q1305" s="164"/>
    </row>
    <row r="1306" spans="16:17" x14ac:dyDescent="0.25">
      <c r="P1306" s="164"/>
      <c r="Q1306" s="164"/>
    </row>
    <row r="1307" spans="16:17" x14ac:dyDescent="0.25">
      <c r="P1307" s="164"/>
      <c r="Q1307" s="164"/>
    </row>
    <row r="1308" spans="16:17" x14ac:dyDescent="0.25">
      <c r="P1308" s="164"/>
      <c r="Q1308" s="164"/>
    </row>
    <row r="1309" spans="16:17" x14ac:dyDescent="0.25">
      <c r="P1309" s="164"/>
      <c r="Q1309" s="164"/>
    </row>
    <row r="1310" spans="16:17" x14ac:dyDescent="0.25">
      <c r="P1310" s="164"/>
      <c r="Q1310" s="164"/>
    </row>
    <row r="1311" spans="16:17" x14ac:dyDescent="0.25">
      <c r="P1311" s="164"/>
      <c r="Q1311" s="164"/>
    </row>
    <row r="1312" spans="16:17" x14ac:dyDescent="0.25">
      <c r="P1312" s="164"/>
      <c r="Q1312" s="164"/>
    </row>
    <row r="1313" spans="16:17" x14ac:dyDescent="0.25">
      <c r="P1313" s="164"/>
      <c r="Q1313" s="164"/>
    </row>
    <row r="1314" spans="16:17" x14ac:dyDescent="0.25">
      <c r="P1314" s="164"/>
      <c r="Q1314" s="164"/>
    </row>
    <row r="1315" spans="16:17" x14ac:dyDescent="0.25">
      <c r="P1315" s="164"/>
      <c r="Q1315" s="164"/>
    </row>
    <row r="1316" spans="16:17" x14ac:dyDescent="0.25">
      <c r="P1316" s="164"/>
      <c r="Q1316" s="164"/>
    </row>
    <row r="1317" spans="16:17" x14ac:dyDescent="0.25">
      <c r="P1317" s="164"/>
      <c r="Q1317" s="164"/>
    </row>
    <row r="1318" spans="16:17" x14ac:dyDescent="0.25">
      <c r="P1318" s="164"/>
      <c r="Q1318" s="164"/>
    </row>
    <row r="1319" spans="16:17" x14ac:dyDescent="0.25">
      <c r="P1319" s="164"/>
      <c r="Q1319" s="164"/>
    </row>
    <row r="1320" spans="16:17" x14ac:dyDescent="0.25">
      <c r="P1320" s="164"/>
      <c r="Q1320" s="164"/>
    </row>
    <row r="1321" spans="16:17" x14ac:dyDescent="0.25">
      <c r="P1321" s="164"/>
      <c r="Q1321" s="164"/>
    </row>
    <row r="1322" spans="16:17" x14ac:dyDescent="0.25">
      <c r="P1322" s="164"/>
      <c r="Q1322" s="164"/>
    </row>
    <row r="1323" spans="16:17" x14ac:dyDescent="0.25">
      <c r="P1323" s="164"/>
      <c r="Q1323" s="164"/>
    </row>
    <row r="1324" spans="16:17" x14ac:dyDescent="0.25">
      <c r="P1324" s="164"/>
      <c r="Q1324" s="164"/>
    </row>
    <row r="1325" spans="16:17" x14ac:dyDescent="0.25">
      <c r="P1325" s="164"/>
      <c r="Q1325" s="164"/>
    </row>
    <row r="1326" spans="16:17" x14ac:dyDescent="0.25">
      <c r="P1326" s="164"/>
      <c r="Q1326" s="164"/>
    </row>
    <row r="1327" spans="16:17" x14ac:dyDescent="0.25">
      <c r="P1327" s="164"/>
      <c r="Q1327" s="164"/>
    </row>
    <row r="1328" spans="16:17" x14ac:dyDescent="0.25">
      <c r="P1328" s="164"/>
      <c r="Q1328" s="164"/>
    </row>
    <row r="1329" spans="16:17" x14ac:dyDescent="0.25">
      <c r="P1329" s="164"/>
      <c r="Q1329" s="164"/>
    </row>
    <row r="1330" spans="16:17" x14ac:dyDescent="0.25">
      <c r="P1330" s="164"/>
      <c r="Q1330" s="164"/>
    </row>
    <row r="1331" spans="16:17" x14ac:dyDescent="0.25">
      <c r="P1331" s="164"/>
      <c r="Q1331" s="164"/>
    </row>
    <row r="1332" spans="16:17" x14ac:dyDescent="0.25">
      <c r="P1332" s="164"/>
      <c r="Q1332" s="164"/>
    </row>
    <row r="1333" spans="16:17" x14ac:dyDescent="0.25">
      <c r="P1333" s="164"/>
      <c r="Q1333" s="164"/>
    </row>
    <row r="1334" spans="16:17" x14ac:dyDescent="0.25">
      <c r="P1334" s="164"/>
      <c r="Q1334" s="164"/>
    </row>
    <row r="1335" spans="16:17" x14ac:dyDescent="0.25">
      <c r="P1335" s="164"/>
      <c r="Q1335" s="164"/>
    </row>
    <row r="1336" spans="16:17" x14ac:dyDescent="0.25">
      <c r="P1336" s="164"/>
      <c r="Q1336" s="164"/>
    </row>
    <row r="1337" spans="16:17" x14ac:dyDescent="0.25">
      <c r="P1337" s="164"/>
      <c r="Q1337" s="164"/>
    </row>
    <row r="1338" spans="16:17" x14ac:dyDescent="0.25">
      <c r="P1338" s="164"/>
      <c r="Q1338" s="164"/>
    </row>
    <row r="1339" spans="16:17" x14ac:dyDescent="0.25">
      <c r="P1339" s="164"/>
      <c r="Q1339" s="164"/>
    </row>
    <row r="1340" spans="16:17" x14ac:dyDescent="0.25">
      <c r="P1340" s="164"/>
      <c r="Q1340" s="164"/>
    </row>
    <row r="1341" spans="16:17" x14ac:dyDescent="0.25">
      <c r="P1341" s="164"/>
      <c r="Q1341" s="164"/>
    </row>
    <row r="1342" spans="16:17" x14ac:dyDescent="0.25">
      <c r="P1342" s="164"/>
      <c r="Q1342" s="164"/>
    </row>
    <row r="1343" spans="16:17" x14ac:dyDescent="0.25">
      <c r="P1343" s="164"/>
      <c r="Q1343" s="164"/>
    </row>
    <row r="1344" spans="16:17" x14ac:dyDescent="0.25">
      <c r="P1344" s="164"/>
      <c r="Q1344" s="164"/>
    </row>
    <row r="1345" spans="16:17" x14ac:dyDescent="0.25">
      <c r="P1345" s="164"/>
      <c r="Q1345" s="164"/>
    </row>
    <row r="1346" spans="16:17" x14ac:dyDescent="0.25">
      <c r="P1346" s="164"/>
      <c r="Q1346" s="164"/>
    </row>
    <row r="1347" spans="16:17" x14ac:dyDescent="0.25">
      <c r="P1347" s="164"/>
      <c r="Q1347" s="164"/>
    </row>
    <row r="1348" spans="16:17" x14ac:dyDescent="0.25">
      <c r="P1348" s="164"/>
      <c r="Q1348" s="164"/>
    </row>
    <row r="1349" spans="16:17" x14ac:dyDescent="0.25">
      <c r="P1349" s="164"/>
      <c r="Q1349" s="164"/>
    </row>
    <row r="1350" spans="16:17" x14ac:dyDescent="0.25">
      <c r="P1350" s="164"/>
      <c r="Q1350" s="164"/>
    </row>
    <row r="1351" spans="16:17" x14ac:dyDescent="0.25">
      <c r="P1351" s="164"/>
      <c r="Q1351" s="164"/>
    </row>
    <row r="1352" spans="16:17" x14ac:dyDescent="0.25">
      <c r="P1352" s="164"/>
      <c r="Q1352" s="164"/>
    </row>
    <row r="1353" spans="16:17" x14ac:dyDescent="0.25">
      <c r="P1353" s="164"/>
      <c r="Q1353" s="164"/>
    </row>
    <row r="1354" spans="16:17" x14ac:dyDescent="0.25">
      <c r="P1354" s="164"/>
      <c r="Q1354" s="164"/>
    </row>
    <row r="1355" spans="16:17" x14ac:dyDescent="0.25">
      <c r="P1355" s="164"/>
      <c r="Q1355" s="164"/>
    </row>
    <row r="1356" spans="16:17" x14ac:dyDescent="0.25">
      <c r="P1356" s="164"/>
      <c r="Q1356" s="164"/>
    </row>
    <row r="1357" spans="16:17" x14ac:dyDescent="0.25">
      <c r="P1357" s="164"/>
      <c r="Q1357" s="164"/>
    </row>
    <row r="1358" spans="16:17" x14ac:dyDescent="0.25">
      <c r="P1358" s="164"/>
      <c r="Q1358" s="164"/>
    </row>
    <row r="1359" spans="16:17" x14ac:dyDescent="0.25">
      <c r="P1359" s="164"/>
      <c r="Q1359" s="164"/>
    </row>
    <row r="1360" spans="16:17" x14ac:dyDescent="0.25">
      <c r="P1360" s="164"/>
      <c r="Q1360" s="164"/>
    </row>
    <row r="1361" spans="16:17" x14ac:dyDescent="0.25">
      <c r="P1361" s="164"/>
      <c r="Q1361" s="164"/>
    </row>
    <row r="1362" spans="16:17" x14ac:dyDescent="0.25">
      <c r="P1362" s="164"/>
      <c r="Q1362" s="164"/>
    </row>
    <row r="1363" spans="16:17" x14ac:dyDescent="0.25">
      <c r="P1363" s="164"/>
      <c r="Q1363" s="164"/>
    </row>
    <row r="1364" spans="16:17" x14ac:dyDescent="0.25">
      <c r="P1364" s="164"/>
      <c r="Q1364" s="164"/>
    </row>
    <row r="1365" spans="16:17" x14ac:dyDescent="0.25">
      <c r="P1365" s="164"/>
      <c r="Q1365" s="164"/>
    </row>
    <row r="1366" spans="16:17" x14ac:dyDescent="0.25">
      <c r="P1366" s="164"/>
      <c r="Q1366" s="164"/>
    </row>
    <row r="1367" spans="16:17" x14ac:dyDescent="0.25">
      <c r="P1367" s="164"/>
      <c r="Q1367" s="164"/>
    </row>
    <row r="1368" spans="16:17" x14ac:dyDescent="0.25">
      <c r="P1368" s="164"/>
      <c r="Q1368" s="164"/>
    </row>
    <row r="1369" spans="16:17" x14ac:dyDescent="0.25">
      <c r="P1369" s="164"/>
      <c r="Q1369" s="164"/>
    </row>
    <row r="1370" spans="16:17" x14ac:dyDescent="0.25">
      <c r="P1370" s="164"/>
      <c r="Q1370" s="164"/>
    </row>
    <row r="1371" spans="16:17" x14ac:dyDescent="0.25">
      <c r="P1371" s="164"/>
      <c r="Q1371" s="164"/>
    </row>
    <row r="1372" spans="16:17" x14ac:dyDescent="0.25">
      <c r="P1372" s="164"/>
      <c r="Q1372" s="164"/>
    </row>
    <row r="1373" spans="16:17" x14ac:dyDescent="0.25">
      <c r="P1373" s="164"/>
      <c r="Q1373" s="164"/>
    </row>
    <row r="1374" spans="16:17" x14ac:dyDescent="0.25">
      <c r="P1374" s="164"/>
      <c r="Q1374" s="164"/>
    </row>
    <row r="1375" spans="16:17" x14ac:dyDescent="0.25">
      <c r="P1375" s="164"/>
      <c r="Q1375" s="164"/>
    </row>
    <row r="1376" spans="16:17" x14ac:dyDescent="0.25">
      <c r="P1376" s="164"/>
      <c r="Q1376" s="164"/>
    </row>
    <row r="1377" spans="16:17" x14ac:dyDescent="0.25">
      <c r="P1377" s="164"/>
      <c r="Q1377" s="164"/>
    </row>
    <row r="1378" spans="16:17" x14ac:dyDescent="0.25">
      <c r="P1378" s="164"/>
      <c r="Q1378" s="164"/>
    </row>
    <row r="1379" spans="16:17" x14ac:dyDescent="0.25">
      <c r="P1379" s="164"/>
      <c r="Q1379" s="164"/>
    </row>
    <row r="1380" spans="16:17" x14ac:dyDescent="0.25">
      <c r="P1380" s="164"/>
      <c r="Q1380" s="164"/>
    </row>
    <row r="1381" spans="16:17" x14ac:dyDescent="0.25">
      <c r="P1381" s="164"/>
      <c r="Q1381" s="164"/>
    </row>
    <row r="1382" spans="16:17" x14ac:dyDescent="0.25">
      <c r="P1382" s="164"/>
      <c r="Q1382" s="164"/>
    </row>
    <row r="1383" spans="16:17" x14ac:dyDescent="0.25">
      <c r="P1383" s="164"/>
      <c r="Q1383" s="164"/>
    </row>
    <row r="1384" spans="16:17" x14ac:dyDescent="0.25">
      <c r="P1384" s="164"/>
      <c r="Q1384" s="164"/>
    </row>
    <row r="1385" spans="16:17" x14ac:dyDescent="0.25">
      <c r="P1385" s="164"/>
      <c r="Q1385" s="164"/>
    </row>
    <row r="1386" spans="16:17" x14ac:dyDescent="0.25">
      <c r="P1386" s="164"/>
      <c r="Q1386" s="164"/>
    </row>
    <row r="1387" spans="16:17" x14ac:dyDescent="0.25">
      <c r="P1387" s="164"/>
      <c r="Q1387" s="164"/>
    </row>
    <row r="1388" spans="16:17" x14ac:dyDescent="0.25">
      <c r="P1388" s="164"/>
      <c r="Q1388" s="164"/>
    </row>
    <row r="1389" spans="16:17" x14ac:dyDescent="0.25">
      <c r="P1389" s="164"/>
      <c r="Q1389" s="164"/>
    </row>
    <row r="1390" spans="16:17" x14ac:dyDescent="0.25">
      <c r="P1390" s="164"/>
      <c r="Q1390" s="164"/>
    </row>
    <row r="1391" spans="16:17" x14ac:dyDescent="0.25">
      <c r="P1391" s="164"/>
      <c r="Q1391" s="164"/>
    </row>
    <row r="1392" spans="16:17" x14ac:dyDescent="0.25">
      <c r="P1392" s="164"/>
      <c r="Q1392" s="164"/>
    </row>
    <row r="1393" spans="16:17" x14ac:dyDescent="0.25">
      <c r="P1393" s="164"/>
      <c r="Q1393" s="164"/>
    </row>
    <row r="1394" spans="16:17" x14ac:dyDescent="0.25">
      <c r="P1394" s="164"/>
      <c r="Q1394" s="164"/>
    </row>
    <row r="1395" spans="16:17" x14ac:dyDescent="0.25">
      <c r="P1395" s="164"/>
      <c r="Q1395" s="164"/>
    </row>
    <row r="1396" spans="16:17" x14ac:dyDescent="0.25">
      <c r="P1396" s="164"/>
      <c r="Q1396" s="164"/>
    </row>
    <row r="1397" spans="16:17" x14ac:dyDescent="0.25">
      <c r="P1397" s="164"/>
      <c r="Q1397" s="164"/>
    </row>
    <row r="1398" spans="16:17" x14ac:dyDescent="0.25">
      <c r="P1398" s="164"/>
      <c r="Q1398" s="164"/>
    </row>
    <row r="1399" spans="16:17" x14ac:dyDescent="0.25">
      <c r="P1399" s="164"/>
      <c r="Q1399" s="164"/>
    </row>
    <row r="1400" spans="16:17" x14ac:dyDescent="0.25">
      <c r="P1400" s="164"/>
      <c r="Q1400" s="164"/>
    </row>
    <row r="1401" spans="16:17" x14ac:dyDescent="0.25">
      <c r="P1401" s="164"/>
      <c r="Q1401" s="164"/>
    </row>
    <row r="1402" spans="16:17" x14ac:dyDescent="0.25">
      <c r="P1402" s="164"/>
      <c r="Q1402" s="164"/>
    </row>
    <row r="1403" spans="16:17" x14ac:dyDescent="0.25">
      <c r="P1403" s="164"/>
      <c r="Q1403" s="164"/>
    </row>
    <row r="1404" spans="16:17" x14ac:dyDescent="0.25">
      <c r="P1404" s="164"/>
      <c r="Q1404" s="164"/>
    </row>
    <row r="1405" spans="16:17" x14ac:dyDescent="0.25">
      <c r="P1405" s="164"/>
      <c r="Q1405" s="164"/>
    </row>
    <row r="1406" spans="16:17" x14ac:dyDescent="0.25">
      <c r="P1406" s="164"/>
      <c r="Q1406" s="164"/>
    </row>
    <row r="1407" spans="16:17" x14ac:dyDescent="0.25">
      <c r="P1407" s="164"/>
      <c r="Q1407" s="164"/>
    </row>
    <row r="1408" spans="16:17" x14ac:dyDescent="0.25">
      <c r="P1408" s="164"/>
      <c r="Q1408" s="164"/>
    </row>
    <row r="1409" spans="16:17" x14ac:dyDescent="0.25">
      <c r="P1409" s="164"/>
      <c r="Q1409" s="164"/>
    </row>
    <row r="1410" spans="16:17" x14ac:dyDescent="0.25">
      <c r="P1410" s="164"/>
      <c r="Q1410" s="164"/>
    </row>
    <row r="1411" spans="16:17" x14ac:dyDescent="0.25">
      <c r="P1411" s="164"/>
      <c r="Q1411" s="164"/>
    </row>
    <row r="1412" spans="16:17" x14ac:dyDescent="0.25">
      <c r="P1412" s="164"/>
      <c r="Q1412" s="164"/>
    </row>
    <row r="1413" spans="16:17" x14ac:dyDescent="0.25">
      <c r="P1413" s="164"/>
      <c r="Q1413" s="164"/>
    </row>
    <row r="1414" spans="16:17" x14ac:dyDescent="0.25">
      <c r="P1414" s="164"/>
      <c r="Q1414" s="164"/>
    </row>
    <row r="1415" spans="16:17" x14ac:dyDescent="0.25">
      <c r="P1415" s="164"/>
      <c r="Q1415" s="164"/>
    </row>
    <row r="1416" spans="16:17" x14ac:dyDescent="0.25">
      <c r="P1416" s="164"/>
      <c r="Q1416" s="164"/>
    </row>
    <row r="1417" spans="16:17" x14ac:dyDescent="0.25">
      <c r="P1417" s="164"/>
      <c r="Q1417" s="164"/>
    </row>
    <row r="1418" spans="16:17" x14ac:dyDescent="0.25">
      <c r="P1418" s="164"/>
      <c r="Q1418" s="164"/>
    </row>
    <row r="1419" spans="16:17" x14ac:dyDescent="0.25">
      <c r="P1419" s="164"/>
      <c r="Q1419" s="164"/>
    </row>
    <row r="1420" spans="16:17" x14ac:dyDescent="0.25">
      <c r="P1420" s="164"/>
      <c r="Q1420" s="164"/>
    </row>
    <row r="1421" spans="16:17" x14ac:dyDescent="0.25">
      <c r="P1421" s="164"/>
      <c r="Q1421" s="164"/>
    </row>
    <row r="1422" spans="16:17" x14ac:dyDescent="0.25">
      <c r="P1422" s="164"/>
      <c r="Q1422" s="164"/>
    </row>
    <row r="1423" spans="16:17" x14ac:dyDescent="0.25">
      <c r="P1423" s="164"/>
      <c r="Q1423" s="164"/>
    </row>
    <row r="1424" spans="16:17" x14ac:dyDescent="0.25">
      <c r="P1424" s="164"/>
      <c r="Q1424" s="164"/>
    </row>
    <row r="1425" spans="16:17" x14ac:dyDescent="0.25">
      <c r="P1425" s="164"/>
      <c r="Q1425" s="164"/>
    </row>
    <row r="1426" spans="16:17" x14ac:dyDescent="0.25">
      <c r="P1426" s="164"/>
      <c r="Q1426" s="164"/>
    </row>
    <row r="1427" spans="16:17" x14ac:dyDescent="0.25">
      <c r="P1427" s="164"/>
      <c r="Q1427" s="164"/>
    </row>
    <row r="1428" spans="16:17" x14ac:dyDescent="0.25">
      <c r="P1428" s="164"/>
      <c r="Q1428" s="164"/>
    </row>
    <row r="1429" spans="16:17" x14ac:dyDescent="0.25">
      <c r="P1429" s="164"/>
      <c r="Q1429" s="164"/>
    </row>
    <row r="1430" spans="16:17" x14ac:dyDescent="0.25">
      <c r="P1430" s="164"/>
      <c r="Q1430" s="164"/>
    </row>
    <row r="1431" spans="16:17" x14ac:dyDescent="0.25">
      <c r="P1431" s="164"/>
      <c r="Q1431" s="164"/>
    </row>
    <row r="1432" spans="16:17" x14ac:dyDescent="0.25">
      <c r="P1432" s="164"/>
      <c r="Q1432" s="164"/>
    </row>
    <row r="1433" spans="16:17" x14ac:dyDescent="0.25">
      <c r="P1433" s="164"/>
      <c r="Q1433" s="164"/>
    </row>
    <row r="1434" spans="16:17" x14ac:dyDescent="0.25">
      <c r="P1434" s="164"/>
      <c r="Q1434" s="164"/>
    </row>
    <row r="1435" spans="16:17" x14ac:dyDescent="0.25">
      <c r="P1435" s="164"/>
      <c r="Q1435" s="164"/>
    </row>
    <row r="1436" spans="16:17" x14ac:dyDescent="0.25">
      <c r="P1436" s="164"/>
      <c r="Q1436" s="164"/>
    </row>
    <row r="1437" spans="16:17" x14ac:dyDescent="0.25">
      <c r="P1437" s="164"/>
      <c r="Q1437" s="164"/>
    </row>
    <row r="1438" spans="16:17" x14ac:dyDescent="0.25">
      <c r="P1438" s="164"/>
      <c r="Q1438" s="164"/>
    </row>
    <row r="1439" spans="16:17" x14ac:dyDescent="0.25">
      <c r="P1439" s="164"/>
      <c r="Q1439" s="164"/>
    </row>
    <row r="1440" spans="16:17" x14ac:dyDescent="0.25">
      <c r="P1440" s="164"/>
      <c r="Q1440" s="164"/>
    </row>
    <row r="1441" spans="16:17" x14ac:dyDescent="0.25">
      <c r="P1441" s="164"/>
      <c r="Q1441" s="164"/>
    </row>
    <row r="1442" spans="16:17" x14ac:dyDescent="0.25">
      <c r="P1442" s="164"/>
      <c r="Q1442" s="164"/>
    </row>
    <row r="1443" spans="16:17" x14ac:dyDescent="0.25">
      <c r="P1443" s="164"/>
      <c r="Q1443" s="164"/>
    </row>
    <row r="1444" spans="16:17" x14ac:dyDescent="0.25">
      <c r="P1444" s="164"/>
      <c r="Q1444" s="164"/>
    </row>
    <row r="1445" spans="16:17" x14ac:dyDescent="0.25">
      <c r="P1445" s="164"/>
      <c r="Q1445" s="164"/>
    </row>
    <row r="1446" spans="16:17" x14ac:dyDescent="0.25">
      <c r="P1446" s="164"/>
      <c r="Q1446" s="164"/>
    </row>
    <row r="1447" spans="16:17" x14ac:dyDescent="0.25">
      <c r="P1447" s="164"/>
      <c r="Q1447" s="164"/>
    </row>
    <row r="1448" spans="16:17" x14ac:dyDescent="0.25">
      <c r="P1448" s="164"/>
      <c r="Q1448" s="164"/>
    </row>
    <row r="1449" spans="16:17" x14ac:dyDescent="0.25">
      <c r="P1449" s="164"/>
      <c r="Q1449" s="164"/>
    </row>
    <row r="1450" spans="16:17" x14ac:dyDescent="0.25">
      <c r="P1450" s="164"/>
      <c r="Q1450" s="164"/>
    </row>
    <row r="1451" spans="16:17" x14ac:dyDescent="0.25">
      <c r="P1451" s="164"/>
      <c r="Q1451" s="164"/>
    </row>
    <row r="1452" spans="16:17" x14ac:dyDescent="0.25">
      <c r="P1452" s="164"/>
      <c r="Q1452" s="164"/>
    </row>
    <row r="1453" spans="16:17" x14ac:dyDescent="0.25">
      <c r="P1453" s="164"/>
      <c r="Q1453" s="164"/>
    </row>
    <row r="1454" spans="16:17" x14ac:dyDescent="0.25">
      <c r="P1454" s="164"/>
      <c r="Q1454" s="164"/>
    </row>
    <row r="1455" spans="16:17" x14ac:dyDescent="0.25">
      <c r="P1455" s="164"/>
      <c r="Q1455" s="164"/>
    </row>
    <row r="1456" spans="16:17" x14ac:dyDescent="0.25">
      <c r="P1456" s="164"/>
      <c r="Q1456" s="164"/>
    </row>
    <row r="1457" spans="16:17" x14ac:dyDescent="0.25">
      <c r="P1457" s="164"/>
      <c r="Q1457" s="164"/>
    </row>
    <row r="1458" spans="16:17" x14ac:dyDescent="0.25">
      <c r="P1458" s="164"/>
      <c r="Q1458" s="164"/>
    </row>
    <row r="1459" spans="16:17" x14ac:dyDescent="0.25">
      <c r="P1459" s="164"/>
      <c r="Q1459" s="164"/>
    </row>
    <row r="1460" spans="16:17" x14ac:dyDescent="0.25">
      <c r="P1460" s="164"/>
      <c r="Q1460" s="164"/>
    </row>
    <row r="1461" spans="16:17" x14ac:dyDescent="0.25">
      <c r="P1461" s="164"/>
      <c r="Q1461" s="164"/>
    </row>
    <row r="1462" spans="16:17" x14ac:dyDescent="0.25">
      <c r="P1462" s="164"/>
      <c r="Q1462" s="164"/>
    </row>
    <row r="1463" spans="16:17" x14ac:dyDescent="0.25">
      <c r="P1463" s="164"/>
      <c r="Q1463" s="164"/>
    </row>
    <row r="1464" spans="16:17" x14ac:dyDescent="0.25">
      <c r="P1464" s="164"/>
      <c r="Q1464" s="164"/>
    </row>
    <row r="1465" spans="16:17" x14ac:dyDescent="0.25">
      <c r="P1465" s="164"/>
      <c r="Q1465" s="164"/>
    </row>
    <row r="1466" spans="16:17" x14ac:dyDescent="0.25">
      <c r="P1466" s="164"/>
      <c r="Q1466" s="164"/>
    </row>
    <row r="1467" spans="16:17" x14ac:dyDescent="0.25">
      <c r="P1467" s="164"/>
      <c r="Q1467" s="164"/>
    </row>
    <row r="1468" spans="16:17" x14ac:dyDescent="0.25">
      <c r="P1468" s="164"/>
      <c r="Q1468" s="164"/>
    </row>
    <row r="1469" spans="16:17" x14ac:dyDescent="0.25">
      <c r="P1469" s="164"/>
      <c r="Q1469" s="164"/>
    </row>
    <row r="1470" spans="16:17" x14ac:dyDescent="0.25">
      <c r="P1470" s="164"/>
      <c r="Q1470" s="164"/>
    </row>
    <row r="1471" spans="16:17" x14ac:dyDescent="0.25">
      <c r="P1471" s="164"/>
      <c r="Q1471" s="164"/>
    </row>
    <row r="1472" spans="16:17" x14ac:dyDescent="0.25">
      <c r="P1472" s="164"/>
      <c r="Q1472" s="164"/>
    </row>
    <row r="1473" spans="16:17" x14ac:dyDescent="0.25">
      <c r="P1473" s="164"/>
      <c r="Q1473" s="164"/>
    </row>
    <row r="1474" spans="16:17" x14ac:dyDescent="0.25">
      <c r="P1474" s="164"/>
      <c r="Q1474" s="164"/>
    </row>
    <row r="1475" spans="16:17" x14ac:dyDescent="0.25">
      <c r="P1475" s="164"/>
      <c r="Q1475" s="164"/>
    </row>
    <row r="1476" spans="16:17" x14ac:dyDescent="0.25">
      <c r="P1476" s="164"/>
      <c r="Q1476" s="164"/>
    </row>
    <row r="1477" spans="16:17" x14ac:dyDescent="0.25">
      <c r="P1477" s="164"/>
      <c r="Q1477" s="164"/>
    </row>
    <row r="1478" spans="16:17" x14ac:dyDescent="0.25">
      <c r="P1478" s="164"/>
      <c r="Q1478" s="164"/>
    </row>
    <row r="1479" spans="16:17" x14ac:dyDescent="0.25">
      <c r="P1479" s="164"/>
      <c r="Q1479" s="164"/>
    </row>
    <row r="1480" spans="16:17" x14ac:dyDescent="0.25">
      <c r="P1480" s="164"/>
      <c r="Q1480" s="164"/>
    </row>
    <row r="1481" spans="16:17" x14ac:dyDescent="0.25">
      <c r="P1481" s="164"/>
      <c r="Q1481" s="164"/>
    </row>
    <row r="1482" spans="16:17" x14ac:dyDescent="0.25">
      <c r="P1482" s="164"/>
      <c r="Q1482" s="164"/>
    </row>
    <row r="1483" spans="16:17" x14ac:dyDescent="0.25">
      <c r="P1483" s="164"/>
      <c r="Q1483" s="164"/>
    </row>
    <row r="1484" spans="16:17" x14ac:dyDescent="0.25">
      <c r="P1484" s="164"/>
      <c r="Q1484" s="164"/>
    </row>
    <row r="1485" spans="16:17" x14ac:dyDescent="0.25">
      <c r="P1485" s="164"/>
      <c r="Q1485" s="164"/>
    </row>
    <row r="1486" spans="16:17" x14ac:dyDescent="0.25">
      <c r="P1486" s="164"/>
      <c r="Q1486" s="164"/>
    </row>
    <row r="1487" spans="16:17" x14ac:dyDescent="0.25">
      <c r="P1487" s="164"/>
      <c r="Q1487" s="164"/>
    </row>
    <row r="1488" spans="16:17" x14ac:dyDescent="0.25">
      <c r="P1488" s="164"/>
      <c r="Q1488" s="164"/>
    </row>
    <row r="1489" spans="16:17" x14ac:dyDescent="0.25">
      <c r="P1489" s="164"/>
      <c r="Q1489" s="164"/>
    </row>
    <row r="1490" spans="16:17" x14ac:dyDescent="0.25">
      <c r="P1490" s="164"/>
      <c r="Q1490" s="164"/>
    </row>
    <row r="1491" spans="16:17" x14ac:dyDescent="0.25">
      <c r="P1491" s="164"/>
      <c r="Q1491" s="164"/>
    </row>
    <row r="1492" spans="16:17" x14ac:dyDescent="0.25">
      <c r="P1492" s="164"/>
      <c r="Q1492" s="164"/>
    </row>
    <row r="1493" spans="16:17" x14ac:dyDescent="0.25">
      <c r="P1493" s="164"/>
      <c r="Q1493" s="164"/>
    </row>
    <row r="1494" spans="16:17" x14ac:dyDescent="0.25">
      <c r="P1494" s="164"/>
      <c r="Q1494" s="164"/>
    </row>
    <row r="1495" spans="16:17" x14ac:dyDescent="0.25">
      <c r="P1495" s="164"/>
      <c r="Q1495" s="164"/>
    </row>
    <row r="1496" spans="16:17" x14ac:dyDescent="0.25">
      <c r="P1496" s="164"/>
      <c r="Q1496" s="164"/>
    </row>
    <row r="1497" spans="16:17" x14ac:dyDescent="0.25">
      <c r="P1497" s="164"/>
      <c r="Q1497" s="164"/>
    </row>
    <row r="1498" spans="16:17" x14ac:dyDescent="0.25">
      <c r="P1498" s="164"/>
      <c r="Q1498" s="164"/>
    </row>
    <row r="1499" spans="16:17" x14ac:dyDescent="0.25">
      <c r="P1499" s="164"/>
      <c r="Q1499" s="164"/>
    </row>
    <row r="1500" spans="16:17" x14ac:dyDescent="0.25">
      <c r="P1500" s="164"/>
      <c r="Q1500" s="164"/>
    </row>
    <row r="1501" spans="16:17" x14ac:dyDescent="0.25">
      <c r="P1501" s="164"/>
      <c r="Q1501" s="164"/>
    </row>
    <row r="1502" spans="16:17" x14ac:dyDescent="0.25">
      <c r="P1502" s="164"/>
      <c r="Q1502" s="164"/>
    </row>
    <row r="1503" spans="16:17" x14ac:dyDescent="0.25">
      <c r="P1503" s="164"/>
      <c r="Q1503" s="164"/>
    </row>
    <row r="1504" spans="16:17" x14ac:dyDescent="0.25">
      <c r="P1504" s="164"/>
      <c r="Q1504" s="164"/>
    </row>
    <row r="1505" spans="16:17" x14ac:dyDescent="0.25">
      <c r="P1505" s="164"/>
      <c r="Q1505" s="164"/>
    </row>
    <row r="1506" spans="16:17" x14ac:dyDescent="0.25">
      <c r="P1506" s="164"/>
      <c r="Q1506" s="164"/>
    </row>
    <row r="1507" spans="16:17" x14ac:dyDescent="0.25">
      <c r="P1507" s="164"/>
      <c r="Q1507" s="164"/>
    </row>
    <row r="1508" spans="16:17" x14ac:dyDescent="0.25">
      <c r="P1508" s="164"/>
      <c r="Q1508" s="164"/>
    </row>
    <row r="1509" spans="16:17" x14ac:dyDescent="0.25">
      <c r="P1509" s="164"/>
      <c r="Q1509" s="164"/>
    </row>
    <row r="1510" spans="16:17" x14ac:dyDescent="0.25">
      <c r="P1510" s="164"/>
      <c r="Q1510" s="164"/>
    </row>
    <row r="1511" spans="16:17" x14ac:dyDescent="0.25">
      <c r="P1511" s="164"/>
      <c r="Q1511" s="164"/>
    </row>
    <row r="1512" spans="16:17" x14ac:dyDescent="0.25">
      <c r="P1512" s="164"/>
      <c r="Q1512" s="164"/>
    </row>
    <row r="1513" spans="16:17" x14ac:dyDescent="0.25">
      <c r="P1513" s="164"/>
      <c r="Q1513" s="164"/>
    </row>
    <row r="1514" spans="16:17" x14ac:dyDescent="0.25">
      <c r="P1514" s="164"/>
      <c r="Q1514" s="164"/>
    </row>
    <row r="1515" spans="16:17" x14ac:dyDescent="0.25">
      <c r="P1515" s="164"/>
      <c r="Q1515" s="164"/>
    </row>
    <row r="1516" spans="16:17" x14ac:dyDescent="0.25">
      <c r="P1516" s="164"/>
      <c r="Q1516" s="164"/>
    </row>
    <row r="1517" spans="16:17" x14ac:dyDescent="0.25">
      <c r="P1517" s="164"/>
      <c r="Q1517" s="164"/>
    </row>
    <row r="1518" spans="16:17" x14ac:dyDescent="0.25">
      <c r="P1518" s="164"/>
      <c r="Q1518" s="164"/>
    </row>
    <row r="1519" spans="16:17" x14ac:dyDescent="0.25">
      <c r="P1519" s="164"/>
      <c r="Q1519" s="164"/>
    </row>
    <row r="1520" spans="16:17" x14ac:dyDescent="0.25">
      <c r="P1520" s="164"/>
      <c r="Q1520" s="164"/>
    </row>
    <row r="1521" spans="16:17" x14ac:dyDescent="0.25">
      <c r="P1521" s="164"/>
      <c r="Q1521" s="164"/>
    </row>
    <row r="1522" spans="16:17" x14ac:dyDescent="0.25">
      <c r="P1522" s="164"/>
      <c r="Q1522" s="164"/>
    </row>
    <row r="1523" spans="16:17" x14ac:dyDescent="0.25">
      <c r="P1523" s="164"/>
      <c r="Q1523" s="164"/>
    </row>
    <row r="1524" spans="16:17" x14ac:dyDescent="0.25">
      <c r="P1524" s="164"/>
      <c r="Q1524" s="164"/>
    </row>
    <row r="1525" spans="16:17" x14ac:dyDescent="0.25">
      <c r="P1525" s="164"/>
      <c r="Q1525" s="164"/>
    </row>
    <row r="1526" spans="16:17" x14ac:dyDescent="0.25">
      <c r="P1526" s="164"/>
      <c r="Q1526" s="164"/>
    </row>
    <row r="1527" spans="16:17" x14ac:dyDescent="0.25">
      <c r="P1527" s="164"/>
      <c r="Q1527" s="164"/>
    </row>
    <row r="1528" spans="16:17" x14ac:dyDescent="0.25">
      <c r="P1528" s="164"/>
      <c r="Q1528" s="164"/>
    </row>
    <row r="1529" spans="16:17" x14ac:dyDescent="0.25">
      <c r="P1529" s="164"/>
      <c r="Q1529" s="164"/>
    </row>
    <row r="1530" spans="16:17" x14ac:dyDescent="0.25">
      <c r="P1530" s="164"/>
      <c r="Q1530" s="164"/>
    </row>
    <row r="1531" spans="16:17" x14ac:dyDescent="0.25">
      <c r="P1531" s="164"/>
      <c r="Q1531" s="164"/>
    </row>
    <row r="1532" spans="16:17" x14ac:dyDescent="0.25">
      <c r="P1532" s="164"/>
      <c r="Q1532" s="164"/>
    </row>
    <row r="1533" spans="16:17" x14ac:dyDescent="0.25">
      <c r="P1533" s="164"/>
      <c r="Q1533" s="164"/>
    </row>
    <row r="1534" spans="16:17" x14ac:dyDescent="0.25">
      <c r="P1534" s="164"/>
      <c r="Q1534" s="164"/>
    </row>
    <row r="1535" spans="16:17" x14ac:dyDescent="0.25">
      <c r="P1535" s="164"/>
      <c r="Q1535" s="164"/>
    </row>
    <row r="1536" spans="16:17" x14ac:dyDescent="0.25">
      <c r="P1536" s="164"/>
      <c r="Q1536" s="164"/>
    </row>
    <row r="1537" spans="16:17" x14ac:dyDescent="0.25">
      <c r="P1537" s="164"/>
      <c r="Q1537" s="164"/>
    </row>
    <row r="1538" spans="16:17" x14ac:dyDescent="0.25">
      <c r="P1538" s="164"/>
      <c r="Q1538" s="164"/>
    </row>
    <row r="1539" spans="16:17" x14ac:dyDescent="0.25">
      <c r="P1539" s="164"/>
      <c r="Q1539" s="164"/>
    </row>
    <row r="1540" spans="16:17" x14ac:dyDescent="0.25">
      <c r="P1540" s="164"/>
      <c r="Q1540" s="164"/>
    </row>
    <row r="1541" spans="16:17" x14ac:dyDescent="0.25">
      <c r="P1541" s="164"/>
      <c r="Q1541" s="164"/>
    </row>
    <row r="1542" spans="16:17" x14ac:dyDescent="0.25">
      <c r="P1542" s="164"/>
      <c r="Q1542" s="164"/>
    </row>
    <row r="1543" spans="16:17" x14ac:dyDescent="0.25">
      <c r="P1543" s="164"/>
      <c r="Q1543" s="164"/>
    </row>
    <row r="1544" spans="16:17" x14ac:dyDescent="0.25">
      <c r="P1544" s="164"/>
      <c r="Q1544" s="164"/>
    </row>
    <row r="1545" spans="16:17" x14ac:dyDescent="0.25">
      <c r="P1545" s="164"/>
      <c r="Q1545" s="164"/>
    </row>
    <row r="1546" spans="16:17" x14ac:dyDescent="0.25">
      <c r="P1546" s="164"/>
      <c r="Q1546" s="164"/>
    </row>
    <row r="1547" spans="16:17" x14ac:dyDescent="0.25">
      <c r="P1547" s="164"/>
      <c r="Q1547" s="164"/>
    </row>
    <row r="1548" spans="16:17" x14ac:dyDescent="0.25">
      <c r="P1548" s="164"/>
      <c r="Q1548" s="164"/>
    </row>
    <row r="1549" spans="16:17" x14ac:dyDescent="0.25">
      <c r="P1549" s="164"/>
      <c r="Q1549" s="164"/>
    </row>
    <row r="1550" spans="16:17" x14ac:dyDescent="0.25">
      <c r="P1550" s="164"/>
      <c r="Q1550" s="164"/>
    </row>
    <row r="1551" spans="16:17" x14ac:dyDescent="0.25">
      <c r="P1551" s="164"/>
      <c r="Q1551" s="164"/>
    </row>
    <row r="1552" spans="16:17" x14ac:dyDescent="0.25">
      <c r="P1552" s="164"/>
      <c r="Q1552" s="164"/>
    </row>
    <row r="1553" spans="16:17" x14ac:dyDescent="0.25">
      <c r="P1553" s="164"/>
      <c r="Q1553" s="164"/>
    </row>
    <row r="1554" spans="16:17" x14ac:dyDescent="0.25">
      <c r="P1554" s="164"/>
      <c r="Q1554" s="164"/>
    </row>
    <row r="1555" spans="16:17" x14ac:dyDescent="0.25">
      <c r="P1555" s="164"/>
      <c r="Q1555" s="164"/>
    </row>
    <row r="1556" spans="16:17" x14ac:dyDescent="0.25">
      <c r="P1556" s="164"/>
      <c r="Q1556" s="164"/>
    </row>
    <row r="1557" spans="16:17" x14ac:dyDescent="0.25">
      <c r="P1557" s="164"/>
      <c r="Q1557" s="164"/>
    </row>
    <row r="1558" spans="16:17" x14ac:dyDescent="0.25">
      <c r="P1558" s="164"/>
      <c r="Q1558" s="164"/>
    </row>
    <row r="1559" spans="16:17" x14ac:dyDescent="0.25">
      <c r="P1559" s="164"/>
      <c r="Q1559" s="164"/>
    </row>
    <row r="1560" spans="16:17" x14ac:dyDescent="0.25">
      <c r="P1560" s="164"/>
      <c r="Q1560" s="164"/>
    </row>
    <row r="1561" spans="16:17" x14ac:dyDescent="0.25">
      <c r="P1561" s="164"/>
      <c r="Q1561" s="164"/>
    </row>
    <row r="1562" spans="16:17" x14ac:dyDescent="0.25">
      <c r="P1562" s="164"/>
      <c r="Q1562" s="164"/>
    </row>
    <row r="1563" spans="16:17" x14ac:dyDescent="0.25">
      <c r="P1563" s="164"/>
      <c r="Q1563" s="164"/>
    </row>
    <row r="1564" spans="16:17" x14ac:dyDescent="0.25">
      <c r="P1564" s="164"/>
      <c r="Q1564" s="164"/>
    </row>
    <row r="1565" spans="16:17" x14ac:dyDescent="0.25">
      <c r="P1565" s="164"/>
      <c r="Q1565" s="164"/>
    </row>
    <row r="1566" spans="16:17" x14ac:dyDescent="0.25">
      <c r="P1566" s="164"/>
      <c r="Q1566" s="164"/>
    </row>
    <row r="1567" spans="16:17" x14ac:dyDescent="0.25">
      <c r="P1567" s="164"/>
      <c r="Q1567" s="164"/>
    </row>
    <row r="1568" spans="16:17" x14ac:dyDescent="0.25">
      <c r="P1568" s="164"/>
      <c r="Q1568" s="164"/>
    </row>
    <row r="1569" spans="16:17" x14ac:dyDescent="0.25">
      <c r="P1569" s="164"/>
      <c r="Q1569" s="164"/>
    </row>
    <row r="1570" spans="16:17" x14ac:dyDescent="0.25">
      <c r="P1570" s="164"/>
      <c r="Q1570" s="164"/>
    </row>
    <row r="1571" spans="16:17" x14ac:dyDescent="0.25">
      <c r="P1571" s="164"/>
      <c r="Q1571" s="164"/>
    </row>
    <row r="1572" spans="16:17" x14ac:dyDescent="0.25">
      <c r="P1572" s="164"/>
      <c r="Q1572" s="164"/>
    </row>
    <row r="1573" spans="16:17" x14ac:dyDescent="0.25">
      <c r="P1573" s="164"/>
      <c r="Q1573" s="164"/>
    </row>
    <row r="1574" spans="16:17" x14ac:dyDescent="0.25">
      <c r="P1574" s="164"/>
      <c r="Q1574" s="164"/>
    </row>
    <row r="1575" spans="16:17" x14ac:dyDescent="0.25">
      <c r="P1575" s="164"/>
      <c r="Q1575" s="164"/>
    </row>
    <row r="1576" spans="16:17" x14ac:dyDescent="0.25">
      <c r="P1576" s="164"/>
      <c r="Q1576" s="164"/>
    </row>
    <row r="1577" spans="16:17" x14ac:dyDescent="0.25">
      <c r="P1577" s="164"/>
      <c r="Q1577" s="164"/>
    </row>
    <row r="1578" spans="16:17" x14ac:dyDescent="0.25">
      <c r="P1578" s="164"/>
      <c r="Q1578" s="164"/>
    </row>
    <row r="1579" spans="16:17" x14ac:dyDescent="0.25">
      <c r="P1579" s="164"/>
      <c r="Q1579" s="164"/>
    </row>
    <row r="1580" spans="16:17" x14ac:dyDescent="0.25">
      <c r="P1580" s="164"/>
      <c r="Q1580" s="164"/>
    </row>
    <row r="1581" spans="16:17" x14ac:dyDescent="0.25">
      <c r="P1581" s="164"/>
      <c r="Q1581" s="164"/>
    </row>
    <row r="1582" spans="16:17" x14ac:dyDescent="0.25">
      <c r="P1582" s="164"/>
      <c r="Q1582" s="164"/>
    </row>
    <row r="1583" spans="16:17" x14ac:dyDescent="0.25">
      <c r="P1583" s="164"/>
      <c r="Q1583" s="164"/>
    </row>
    <row r="1584" spans="16:17" x14ac:dyDescent="0.25">
      <c r="P1584" s="164"/>
      <c r="Q1584" s="164"/>
    </row>
    <row r="1585" spans="16:17" x14ac:dyDescent="0.25">
      <c r="P1585" s="164"/>
      <c r="Q1585" s="164"/>
    </row>
    <row r="1586" spans="16:17" x14ac:dyDescent="0.25">
      <c r="P1586" s="164"/>
      <c r="Q1586" s="164"/>
    </row>
    <row r="1587" spans="16:17" x14ac:dyDescent="0.25">
      <c r="P1587" s="164"/>
      <c r="Q1587" s="164"/>
    </row>
    <row r="1588" spans="16:17" x14ac:dyDescent="0.25">
      <c r="P1588" s="164"/>
      <c r="Q1588" s="164"/>
    </row>
    <row r="1589" spans="16:17" x14ac:dyDescent="0.25">
      <c r="P1589" s="164"/>
      <c r="Q1589" s="164"/>
    </row>
    <row r="1590" spans="16:17" x14ac:dyDescent="0.25">
      <c r="P1590" s="164"/>
      <c r="Q1590" s="164"/>
    </row>
    <row r="1591" spans="16:17" x14ac:dyDescent="0.25">
      <c r="P1591" s="164"/>
      <c r="Q1591" s="164"/>
    </row>
    <row r="1592" spans="16:17" x14ac:dyDescent="0.25">
      <c r="P1592" s="164"/>
      <c r="Q1592" s="164"/>
    </row>
    <row r="1593" spans="16:17" x14ac:dyDescent="0.25">
      <c r="P1593" s="164"/>
      <c r="Q1593" s="164"/>
    </row>
    <row r="1594" spans="16:17" x14ac:dyDescent="0.25">
      <c r="P1594" s="164"/>
      <c r="Q1594" s="164"/>
    </row>
    <row r="1595" spans="16:17" x14ac:dyDescent="0.25">
      <c r="P1595" s="164"/>
      <c r="Q1595" s="164"/>
    </row>
    <row r="1596" spans="16:17" x14ac:dyDescent="0.25">
      <c r="P1596" s="164"/>
      <c r="Q1596" s="164"/>
    </row>
    <row r="1597" spans="16:17" x14ac:dyDescent="0.25">
      <c r="P1597" s="164"/>
      <c r="Q1597" s="164"/>
    </row>
    <row r="1598" spans="16:17" x14ac:dyDescent="0.25">
      <c r="P1598" s="164"/>
      <c r="Q1598" s="164"/>
    </row>
    <row r="1599" spans="16:17" x14ac:dyDescent="0.25">
      <c r="P1599" s="164"/>
      <c r="Q1599" s="164"/>
    </row>
    <row r="1600" spans="16:17" x14ac:dyDescent="0.25">
      <c r="P1600" s="164"/>
      <c r="Q1600" s="164"/>
    </row>
    <row r="1601" spans="16:17" x14ac:dyDescent="0.25">
      <c r="P1601" s="164"/>
      <c r="Q1601" s="164"/>
    </row>
    <row r="1602" spans="16:17" x14ac:dyDescent="0.25">
      <c r="P1602" s="164"/>
      <c r="Q1602" s="164"/>
    </row>
    <row r="1603" spans="16:17" x14ac:dyDescent="0.25">
      <c r="P1603" s="164"/>
      <c r="Q1603" s="164"/>
    </row>
    <row r="1604" spans="16:17" x14ac:dyDescent="0.25">
      <c r="P1604" s="164"/>
      <c r="Q1604" s="164"/>
    </row>
    <row r="1605" spans="16:17" x14ac:dyDescent="0.25">
      <c r="P1605" s="164"/>
      <c r="Q1605" s="164"/>
    </row>
    <row r="1606" spans="16:17" x14ac:dyDescent="0.25">
      <c r="P1606" s="164"/>
      <c r="Q1606" s="164"/>
    </row>
    <row r="1607" spans="16:17" x14ac:dyDescent="0.25">
      <c r="P1607" s="164"/>
      <c r="Q1607" s="164"/>
    </row>
    <row r="1608" spans="16:17" x14ac:dyDescent="0.25">
      <c r="P1608" s="164"/>
      <c r="Q1608" s="164"/>
    </row>
    <row r="1609" spans="16:17" x14ac:dyDescent="0.25">
      <c r="P1609" s="164"/>
      <c r="Q1609" s="164"/>
    </row>
    <row r="1610" spans="16:17" x14ac:dyDescent="0.25">
      <c r="P1610" s="164"/>
      <c r="Q1610" s="164"/>
    </row>
    <row r="1611" spans="16:17" x14ac:dyDescent="0.25">
      <c r="P1611" s="164"/>
      <c r="Q1611" s="164"/>
    </row>
    <row r="1612" spans="16:17" x14ac:dyDescent="0.25">
      <c r="P1612" s="164"/>
      <c r="Q1612" s="164"/>
    </row>
    <row r="1613" spans="16:17" x14ac:dyDescent="0.25">
      <c r="P1613" s="164"/>
      <c r="Q1613" s="164"/>
    </row>
    <row r="1614" spans="16:17" x14ac:dyDescent="0.25">
      <c r="P1614" s="164"/>
      <c r="Q1614" s="164"/>
    </row>
    <row r="1615" spans="16:17" x14ac:dyDescent="0.25">
      <c r="P1615" s="164"/>
      <c r="Q1615" s="164"/>
    </row>
    <row r="1616" spans="16:17" x14ac:dyDescent="0.25">
      <c r="P1616" s="164"/>
      <c r="Q1616" s="164"/>
    </row>
    <row r="1617" spans="16:17" x14ac:dyDescent="0.25">
      <c r="P1617" s="164"/>
      <c r="Q1617" s="164"/>
    </row>
    <row r="1618" spans="16:17" x14ac:dyDescent="0.25">
      <c r="P1618" s="164"/>
      <c r="Q1618" s="164"/>
    </row>
    <row r="1619" spans="16:17" x14ac:dyDescent="0.25">
      <c r="P1619" s="164"/>
      <c r="Q1619" s="164"/>
    </row>
    <row r="1620" spans="16:17" x14ac:dyDescent="0.25">
      <c r="P1620" s="164"/>
      <c r="Q1620" s="164"/>
    </row>
    <row r="1621" spans="16:17" x14ac:dyDescent="0.25">
      <c r="P1621" s="164"/>
      <c r="Q1621" s="164"/>
    </row>
    <row r="1622" spans="16:17" x14ac:dyDescent="0.25">
      <c r="P1622" s="164"/>
      <c r="Q1622" s="164"/>
    </row>
    <row r="1623" spans="16:17" x14ac:dyDescent="0.25">
      <c r="P1623" s="164"/>
      <c r="Q1623" s="164"/>
    </row>
    <row r="1624" spans="16:17" x14ac:dyDescent="0.25">
      <c r="P1624" s="164"/>
      <c r="Q1624" s="164"/>
    </row>
    <row r="1625" spans="16:17" x14ac:dyDescent="0.25">
      <c r="P1625" s="164"/>
      <c r="Q1625" s="164"/>
    </row>
    <row r="1626" spans="16:17" x14ac:dyDescent="0.25">
      <c r="P1626" s="164"/>
      <c r="Q1626" s="164"/>
    </row>
    <row r="1627" spans="16:17" x14ac:dyDescent="0.25">
      <c r="P1627" s="164"/>
      <c r="Q1627" s="164"/>
    </row>
    <row r="1628" spans="16:17" x14ac:dyDescent="0.25">
      <c r="P1628" s="164"/>
      <c r="Q1628" s="164"/>
    </row>
    <row r="1629" spans="16:17" x14ac:dyDescent="0.25">
      <c r="P1629" s="164"/>
      <c r="Q1629" s="164"/>
    </row>
    <row r="1630" spans="16:17" x14ac:dyDescent="0.25">
      <c r="P1630" s="164"/>
      <c r="Q1630" s="164"/>
    </row>
    <row r="1631" spans="16:17" x14ac:dyDescent="0.25">
      <c r="P1631" s="164"/>
      <c r="Q1631" s="164"/>
    </row>
    <row r="1632" spans="16:17" x14ac:dyDescent="0.25">
      <c r="P1632" s="164"/>
      <c r="Q1632" s="164"/>
    </row>
    <row r="1633" spans="16:17" x14ac:dyDescent="0.25">
      <c r="P1633" s="164"/>
      <c r="Q1633" s="164"/>
    </row>
    <row r="1634" spans="16:17" x14ac:dyDescent="0.25">
      <c r="P1634" s="164"/>
      <c r="Q1634" s="164"/>
    </row>
    <row r="1635" spans="16:17" x14ac:dyDescent="0.25">
      <c r="P1635" s="164"/>
      <c r="Q1635" s="164"/>
    </row>
    <row r="1636" spans="16:17" x14ac:dyDescent="0.25">
      <c r="P1636" s="164"/>
      <c r="Q1636" s="164"/>
    </row>
    <row r="1637" spans="16:17" x14ac:dyDescent="0.25">
      <c r="P1637" s="164"/>
      <c r="Q1637" s="164"/>
    </row>
    <row r="1638" spans="16:17" x14ac:dyDescent="0.25">
      <c r="P1638" s="164"/>
      <c r="Q1638" s="164"/>
    </row>
    <row r="1639" spans="16:17" x14ac:dyDescent="0.25">
      <c r="P1639" s="164"/>
      <c r="Q1639" s="164"/>
    </row>
    <row r="1640" spans="16:17" x14ac:dyDescent="0.25">
      <c r="P1640" s="164"/>
      <c r="Q1640" s="164"/>
    </row>
    <row r="1641" spans="16:17" x14ac:dyDescent="0.25">
      <c r="P1641" s="164"/>
      <c r="Q1641" s="164"/>
    </row>
    <row r="1642" spans="16:17" x14ac:dyDescent="0.25">
      <c r="P1642" s="164"/>
      <c r="Q1642" s="164"/>
    </row>
    <row r="1643" spans="16:17" x14ac:dyDescent="0.25">
      <c r="P1643" s="164"/>
      <c r="Q1643" s="164"/>
    </row>
    <row r="1644" spans="16:17" x14ac:dyDescent="0.25">
      <c r="P1644" s="164"/>
      <c r="Q1644" s="164"/>
    </row>
    <row r="1645" spans="16:17" x14ac:dyDescent="0.25">
      <c r="P1645" s="164"/>
      <c r="Q1645" s="164"/>
    </row>
    <row r="1646" spans="16:17" x14ac:dyDescent="0.25">
      <c r="P1646" s="164"/>
      <c r="Q1646" s="164"/>
    </row>
    <row r="1647" spans="16:17" x14ac:dyDescent="0.25">
      <c r="P1647" s="164"/>
      <c r="Q1647" s="164"/>
    </row>
    <row r="1648" spans="16:17" x14ac:dyDescent="0.25">
      <c r="P1648" s="164"/>
      <c r="Q1648" s="164"/>
    </row>
    <row r="1649" spans="16:17" x14ac:dyDescent="0.25">
      <c r="P1649" s="164"/>
      <c r="Q1649" s="164"/>
    </row>
    <row r="1650" spans="16:17" x14ac:dyDescent="0.25">
      <c r="P1650" s="164"/>
      <c r="Q1650" s="164"/>
    </row>
    <row r="1651" spans="16:17" x14ac:dyDescent="0.25">
      <c r="P1651" s="164"/>
      <c r="Q1651" s="164"/>
    </row>
    <row r="1652" spans="16:17" x14ac:dyDescent="0.25">
      <c r="P1652" s="164"/>
      <c r="Q1652" s="164"/>
    </row>
    <row r="1653" spans="16:17" x14ac:dyDescent="0.25">
      <c r="P1653" s="164"/>
      <c r="Q1653" s="164"/>
    </row>
    <row r="1654" spans="16:17" x14ac:dyDescent="0.25">
      <c r="P1654" s="164"/>
      <c r="Q1654" s="164"/>
    </row>
    <row r="1655" spans="16:17" x14ac:dyDescent="0.25">
      <c r="P1655" s="164"/>
      <c r="Q1655" s="164"/>
    </row>
    <row r="1656" spans="16:17" x14ac:dyDescent="0.25">
      <c r="P1656" s="164"/>
      <c r="Q1656" s="164"/>
    </row>
    <row r="1657" spans="16:17" x14ac:dyDescent="0.25">
      <c r="P1657" s="164"/>
      <c r="Q1657" s="164"/>
    </row>
    <row r="1658" spans="16:17" x14ac:dyDescent="0.25">
      <c r="P1658" s="164"/>
      <c r="Q1658" s="164"/>
    </row>
    <row r="1659" spans="16:17" x14ac:dyDescent="0.25">
      <c r="P1659" s="164"/>
      <c r="Q1659" s="164"/>
    </row>
    <row r="1660" spans="16:17" x14ac:dyDescent="0.25">
      <c r="P1660" s="164"/>
      <c r="Q1660" s="164"/>
    </row>
    <row r="1661" spans="16:17" x14ac:dyDescent="0.25">
      <c r="P1661" s="164"/>
      <c r="Q1661" s="164"/>
    </row>
    <row r="1662" spans="16:17" x14ac:dyDescent="0.25">
      <c r="P1662" s="164"/>
      <c r="Q1662" s="164"/>
    </row>
    <row r="1663" spans="16:17" x14ac:dyDescent="0.25">
      <c r="P1663" s="164"/>
      <c r="Q1663" s="164"/>
    </row>
    <row r="1664" spans="16:17" x14ac:dyDescent="0.25">
      <c r="P1664" s="164"/>
      <c r="Q1664" s="164"/>
    </row>
    <row r="1665" spans="16:17" x14ac:dyDescent="0.25">
      <c r="P1665" s="164"/>
      <c r="Q1665" s="164"/>
    </row>
    <row r="1666" spans="16:17" x14ac:dyDescent="0.25">
      <c r="P1666" s="164"/>
      <c r="Q1666" s="164"/>
    </row>
    <row r="1667" spans="16:17" x14ac:dyDescent="0.25">
      <c r="P1667" s="164"/>
      <c r="Q1667" s="164"/>
    </row>
    <row r="1668" spans="16:17" x14ac:dyDescent="0.25">
      <c r="P1668" s="164"/>
      <c r="Q1668" s="164"/>
    </row>
    <row r="1669" spans="16:17" x14ac:dyDescent="0.25">
      <c r="P1669" s="164"/>
      <c r="Q1669" s="164"/>
    </row>
    <row r="1670" spans="16:17" x14ac:dyDescent="0.25">
      <c r="P1670" s="164"/>
      <c r="Q1670" s="164"/>
    </row>
    <row r="1671" spans="16:17" x14ac:dyDescent="0.25">
      <c r="P1671" s="164"/>
      <c r="Q1671" s="164"/>
    </row>
    <row r="1672" spans="16:17" x14ac:dyDescent="0.25">
      <c r="P1672" s="164"/>
      <c r="Q1672" s="164"/>
    </row>
    <row r="1673" spans="16:17" x14ac:dyDescent="0.25">
      <c r="P1673" s="164"/>
      <c r="Q1673" s="164"/>
    </row>
    <row r="1674" spans="16:17" x14ac:dyDescent="0.25">
      <c r="P1674" s="164"/>
      <c r="Q1674" s="164"/>
    </row>
    <row r="1675" spans="16:17" x14ac:dyDescent="0.25">
      <c r="P1675" s="164"/>
      <c r="Q1675" s="164"/>
    </row>
    <row r="1676" spans="16:17" x14ac:dyDescent="0.25">
      <c r="P1676" s="164"/>
      <c r="Q1676" s="164"/>
    </row>
    <row r="1677" spans="16:17" x14ac:dyDescent="0.25">
      <c r="P1677" s="164"/>
      <c r="Q1677" s="164"/>
    </row>
    <row r="1678" spans="16:17" x14ac:dyDescent="0.25">
      <c r="P1678" s="164"/>
      <c r="Q1678" s="164"/>
    </row>
    <row r="1679" spans="16:17" x14ac:dyDescent="0.25">
      <c r="P1679" s="164"/>
      <c r="Q1679" s="164"/>
    </row>
    <row r="1680" spans="16:17" x14ac:dyDescent="0.25">
      <c r="P1680" s="164"/>
      <c r="Q1680" s="164"/>
    </row>
    <row r="1681" spans="16:17" x14ac:dyDescent="0.25">
      <c r="P1681" s="164"/>
      <c r="Q1681" s="164"/>
    </row>
    <row r="1682" spans="16:17" x14ac:dyDescent="0.25">
      <c r="P1682" s="164"/>
      <c r="Q1682" s="164"/>
    </row>
    <row r="1683" spans="16:17" x14ac:dyDescent="0.25">
      <c r="P1683" s="164"/>
      <c r="Q1683" s="164"/>
    </row>
    <row r="1684" spans="16:17" x14ac:dyDescent="0.25">
      <c r="P1684" s="164"/>
      <c r="Q1684" s="164"/>
    </row>
    <row r="1685" spans="16:17" x14ac:dyDescent="0.25">
      <c r="P1685" s="164"/>
      <c r="Q1685" s="164"/>
    </row>
    <row r="1686" spans="16:17" x14ac:dyDescent="0.25">
      <c r="P1686" s="164"/>
      <c r="Q1686" s="164"/>
    </row>
    <row r="1687" spans="16:17" x14ac:dyDescent="0.25">
      <c r="P1687" s="164"/>
      <c r="Q1687" s="164"/>
    </row>
    <row r="1688" spans="16:17" x14ac:dyDescent="0.25">
      <c r="P1688" s="164"/>
      <c r="Q1688" s="164"/>
    </row>
    <row r="1689" spans="16:17" x14ac:dyDescent="0.25">
      <c r="P1689" s="164"/>
      <c r="Q1689" s="164"/>
    </row>
    <row r="1690" spans="16:17" x14ac:dyDescent="0.25">
      <c r="P1690" s="164"/>
      <c r="Q1690" s="164"/>
    </row>
    <row r="1691" spans="16:17" x14ac:dyDescent="0.25">
      <c r="P1691" s="164"/>
      <c r="Q1691" s="164"/>
    </row>
    <row r="1692" spans="16:17" x14ac:dyDescent="0.25">
      <c r="P1692" s="164"/>
      <c r="Q1692" s="164"/>
    </row>
    <row r="1693" spans="16:17" x14ac:dyDescent="0.25">
      <c r="P1693" s="164"/>
      <c r="Q1693" s="164"/>
    </row>
    <row r="1694" spans="16:17" x14ac:dyDescent="0.25">
      <c r="P1694" s="164"/>
      <c r="Q1694" s="164"/>
    </row>
    <row r="1695" spans="16:17" x14ac:dyDescent="0.25">
      <c r="P1695" s="164"/>
      <c r="Q1695" s="164"/>
    </row>
    <row r="1696" spans="16:17" x14ac:dyDescent="0.25">
      <c r="P1696" s="164"/>
      <c r="Q1696" s="164"/>
    </row>
    <row r="1697" spans="16:17" x14ac:dyDescent="0.25">
      <c r="P1697" s="164"/>
      <c r="Q1697" s="164"/>
    </row>
    <row r="1698" spans="16:17" x14ac:dyDescent="0.25">
      <c r="P1698" s="164"/>
      <c r="Q1698" s="164"/>
    </row>
    <row r="1699" spans="16:17" x14ac:dyDescent="0.25">
      <c r="P1699" s="164"/>
      <c r="Q1699" s="164"/>
    </row>
    <row r="1700" spans="16:17" x14ac:dyDescent="0.25">
      <c r="P1700" s="164"/>
      <c r="Q1700" s="164"/>
    </row>
    <row r="1701" spans="16:17" x14ac:dyDescent="0.25">
      <c r="P1701" s="164"/>
      <c r="Q1701" s="164"/>
    </row>
    <row r="1702" spans="16:17" x14ac:dyDescent="0.25">
      <c r="P1702" s="164"/>
      <c r="Q1702" s="164"/>
    </row>
    <row r="1703" spans="16:17" x14ac:dyDescent="0.25">
      <c r="P1703" s="164"/>
      <c r="Q1703" s="164"/>
    </row>
    <row r="1704" spans="16:17" x14ac:dyDescent="0.25">
      <c r="P1704" s="164"/>
      <c r="Q1704" s="164"/>
    </row>
    <row r="1705" spans="16:17" x14ac:dyDescent="0.25">
      <c r="P1705" s="164"/>
      <c r="Q1705" s="164"/>
    </row>
    <row r="1706" spans="16:17" x14ac:dyDescent="0.25">
      <c r="P1706" s="164"/>
      <c r="Q1706" s="164"/>
    </row>
    <row r="1707" spans="16:17" x14ac:dyDescent="0.25">
      <c r="P1707" s="164"/>
      <c r="Q1707" s="164"/>
    </row>
    <row r="1708" spans="16:17" x14ac:dyDescent="0.25">
      <c r="P1708" s="164"/>
      <c r="Q1708" s="164"/>
    </row>
    <row r="1709" spans="16:17" x14ac:dyDescent="0.25">
      <c r="P1709" s="164"/>
      <c r="Q1709" s="164"/>
    </row>
    <row r="1710" spans="16:17" x14ac:dyDescent="0.25">
      <c r="P1710" s="164"/>
      <c r="Q1710" s="164"/>
    </row>
    <row r="1711" spans="16:17" x14ac:dyDescent="0.25">
      <c r="P1711" s="164"/>
      <c r="Q1711" s="164"/>
    </row>
    <row r="1712" spans="16:17" x14ac:dyDescent="0.25">
      <c r="P1712" s="164"/>
      <c r="Q1712" s="164"/>
    </row>
    <row r="1713" spans="16:17" x14ac:dyDescent="0.25">
      <c r="P1713" s="164"/>
      <c r="Q1713" s="164"/>
    </row>
    <row r="1714" spans="16:17" x14ac:dyDescent="0.25">
      <c r="P1714" s="164"/>
      <c r="Q1714" s="164"/>
    </row>
    <row r="1715" spans="16:17" x14ac:dyDescent="0.25">
      <c r="P1715" s="164"/>
      <c r="Q1715" s="164"/>
    </row>
    <row r="1716" spans="16:17" x14ac:dyDescent="0.25">
      <c r="P1716" s="164"/>
      <c r="Q1716" s="164"/>
    </row>
    <row r="1717" spans="16:17" x14ac:dyDescent="0.25">
      <c r="P1717" s="164"/>
      <c r="Q1717" s="164"/>
    </row>
    <row r="1718" spans="16:17" x14ac:dyDescent="0.25">
      <c r="P1718" s="164"/>
      <c r="Q1718" s="164"/>
    </row>
    <row r="1719" spans="16:17" x14ac:dyDescent="0.25">
      <c r="P1719" s="164"/>
      <c r="Q1719" s="164"/>
    </row>
    <row r="1720" spans="16:17" x14ac:dyDescent="0.25">
      <c r="P1720" s="164"/>
      <c r="Q1720" s="164"/>
    </row>
    <row r="1721" spans="16:17" x14ac:dyDescent="0.25">
      <c r="P1721" s="164"/>
      <c r="Q1721" s="164"/>
    </row>
    <row r="1722" spans="16:17" x14ac:dyDescent="0.25">
      <c r="P1722" s="164"/>
      <c r="Q1722" s="164"/>
    </row>
    <row r="1723" spans="16:17" x14ac:dyDescent="0.25">
      <c r="P1723" s="164"/>
      <c r="Q1723" s="164"/>
    </row>
    <row r="1724" spans="16:17" x14ac:dyDescent="0.25">
      <c r="P1724" s="164"/>
      <c r="Q1724" s="164"/>
    </row>
    <row r="1725" spans="16:17" x14ac:dyDescent="0.25">
      <c r="P1725" s="164"/>
      <c r="Q1725" s="164"/>
    </row>
    <row r="1726" spans="16:17" x14ac:dyDescent="0.25">
      <c r="P1726" s="164"/>
      <c r="Q1726" s="164"/>
    </row>
    <row r="1727" spans="16:17" x14ac:dyDescent="0.25">
      <c r="P1727" s="164"/>
      <c r="Q1727" s="164"/>
    </row>
    <row r="1728" spans="16:17" x14ac:dyDescent="0.25">
      <c r="P1728" s="164"/>
      <c r="Q1728" s="164"/>
    </row>
    <row r="1729" spans="16:17" x14ac:dyDescent="0.25">
      <c r="P1729" s="164"/>
      <c r="Q1729" s="164"/>
    </row>
    <row r="1730" spans="16:17" x14ac:dyDescent="0.25">
      <c r="P1730" s="164"/>
      <c r="Q1730" s="164"/>
    </row>
    <row r="1731" spans="16:17" x14ac:dyDescent="0.25">
      <c r="P1731" s="164"/>
      <c r="Q1731" s="164"/>
    </row>
    <row r="1732" spans="16:17" x14ac:dyDescent="0.25">
      <c r="P1732" s="164"/>
      <c r="Q1732" s="164"/>
    </row>
    <row r="1733" spans="16:17" x14ac:dyDescent="0.25">
      <c r="P1733" s="164"/>
      <c r="Q1733" s="164"/>
    </row>
    <row r="1734" spans="16:17" x14ac:dyDescent="0.25">
      <c r="P1734" s="164"/>
      <c r="Q1734" s="164"/>
    </row>
    <row r="1735" spans="16:17" x14ac:dyDescent="0.25">
      <c r="P1735" s="164"/>
      <c r="Q1735" s="164"/>
    </row>
    <row r="1736" spans="16:17" x14ac:dyDescent="0.25">
      <c r="P1736" s="164"/>
      <c r="Q1736" s="164"/>
    </row>
    <row r="1737" spans="16:17" x14ac:dyDescent="0.25">
      <c r="P1737" s="164"/>
      <c r="Q1737" s="164"/>
    </row>
    <row r="1738" spans="16:17" x14ac:dyDescent="0.25">
      <c r="P1738" s="164"/>
      <c r="Q1738" s="164"/>
    </row>
    <row r="1739" spans="16:17" x14ac:dyDescent="0.25">
      <c r="P1739" s="164"/>
      <c r="Q1739" s="164"/>
    </row>
    <row r="1740" spans="16:17" x14ac:dyDescent="0.25">
      <c r="P1740" s="164"/>
      <c r="Q1740" s="164"/>
    </row>
    <row r="1741" spans="16:17" x14ac:dyDescent="0.25">
      <c r="P1741" s="164"/>
      <c r="Q1741" s="164"/>
    </row>
    <row r="1742" spans="16:17" x14ac:dyDescent="0.25">
      <c r="P1742" s="164"/>
      <c r="Q1742" s="164"/>
    </row>
    <row r="1743" spans="16:17" x14ac:dyDescent="0.25">
      <c r="P1743" s="164"/>
      <c r="Q1743" s="164"/>
    </row>
    <row r="1744" spans="16:17" x14ac:dyDescent="0.25">
      <c r="P1744" s="164"/>
      <c r="Q1744" s="164"/>
    </row>
    <row r="1745" spans="16:17" x14ac:dyDescent="0.25">
      <c r="P1745" s="164"/>
      <c r="Q1745" s="164"/>
    </row>
    <row r="1746" spans="16:17" x14ac:dyDescent="0.25">
      <c r="P1746" s="164"/>
      <c r="Q1746" s="164"/>
    </row>
    <row r="1747" spans="16:17" x14ac:dyDescent="0.25">
      <c r="P1747" s="164"/>
      <c r="Q1747" s="164"/>
    </row>
    <row r="1748" spans="16:17" x14ac:dyDescent="0.25">
      <c r="P1748" s="164"/>
      <c r="Q1748" s="164"/>
    </row>
    <row r="1749" spans="16:17" x14ac:dyDescent="0.25">
      <c r="P1749" s="164"/>
      <c r="Q1749" s="164"/>
    </row>
    <row r="1750" spans="16:17" x14ac:dyDescent="0.25">
      <c r="P1750" s="164"/>
      <c r="Q1750" s="164"/>
    </row>
    <row r="1751" spans="16:17" x14ac:dyDescent="0.25">
      <c r="P1751" s="164"/>
      <c r="Q1751" s="164"/>
    </row>
    <row r="1752" spans="16:17" x14ac:dyDescent="0.25">
      <c r="P1752" s="164"/>
      <c r="Q1752" s="164"/>
    </row>
    <row r="1753" spans="16:17" x14ac:dyDescent="0.25">
      <c r="P1753" s="164"/>
      <c r="Q1753" s="164"/>
    </row>
    <row r="1754" spans="16:17" x14ac:dyDescent="0.25">
      <c r="P1754" s="164"/>
      <c r="Q1754" s="164"/>
    </row>
    <row r="1755" spans="16:17" x14ac:dyDescent="0.25">
      <c r="P1755" s="164"/>
      <c r="Q1755" s="164"/>
    </row>
    <row r="1756" spans="16:17" x14ac:dyDescent="0.25">
      <c r="P1756" s="164"/>
      <c r="Q1756" s="164"/>
    </row>
    <row r="1757" spans="16:17" x14ac:dyDescent="0.25">
      <c r="P1757" s="164"/>
      <c r="Q1757" s="164"/>
    </row>
    <row r="1758" spans="16:17" x14ac:dyDescent="0.25">
      <c r="P1758" s="164"/>
      <c r="Q1758" s="164"/>
    </row>
    <row r="1759" spans="16:17" x14ac:dyDescent="0.25">
      <c r="P1759" s="164"/>
      <c r="Q1759" s="164"/>
    </row>
    <row r="1760" spans="16:17" x14ac:dyDescent="0.25">
      <c r="P1760" s="164"/>
      <c r="Q1760" s="164"/>
    </row>
    <row r="1761" spans="16:17" x14ac:dyDescent="0.25">
      <c r="P1761" s="164"/>
      <c r="Q1761" s="164"/>
    </row>
    <row r="1762" spans="16:17" x14ac:dyDescent="0.25">
      <c r="P1762" s="164"/>
      <c r="Q1762" s="164"/>
    </row>
    <row r="1763" spans="16:17" x14ac:dyDescent="0.25">
      <c r="P1763" s="164"/>
      <c r="Q1763" s="164"/>
    </row>
    <row r="1764" spans="16:17" x14ac:dyDescent="0.25">
      <c r="P1764" s="164"/>
      <c r="Q1764" s="164"/>
    </row>
    <row r="1765" spans="16:17" x14ac:dyDescent="0.25">
      <c r="P1765" s="164"/>
      <c r="Q1765" s="164"/>
    </row>
    <row r="1766" spans="16:17" x14ac:dyDescent="0.25">
      <c r="P1766" s="164"/>
      <c r="Q1766" s="164"/>
    </row>
    <row r="1767" spans="16:17" x14ac:dyDescent="0.25">
      <c r="P1767" s="164"/>
      <c r="Q1767" s="164"/>
    </row>
    <row r="1768" spans="16:17" x14ac:dyDescent="0.25">
      <c r="P1768" s="164"/>
      <c r="Q1768" s="164"/>
    </row>
    <row r="1769" spans="16:17" x14ac:dyDescent="0.25">
      <c r="P1769" s="164"/>
      <c r="Q1769" s="164"/>
    </row>
    <row r="1770" spans="16:17" x14ac:dyDescent="0.25">
      <c r="P1770" s="164"/>
      <c r="Q1770" s="164"/>
    </row>
    <row r="1771" spans="16:17" x14ac:dyDescent="0.25">
      <c r="P1771" s="164"/>
      <c r="Q1771" s="164"/>
    </row>
    <row r="1772" spans="16:17" x14ac:dyDescent="0.25">
      <c r="P1772" s="164"/>
      <c r="Q1772" s="164"/>
    </row>
    <row r="1773" spans="16:17" x14ac:dyDescent="0.25">
      <c r="P1773" s="164"/>
      <c r="Q1773" s="164"/>
    </row>
    <row r="1774" spans="16:17" x14ac:dyDescent="0.25">
      <c r="P1774" s="164"/>
      <c r="Q1774" s="164"/>
    </row>
    <row r="1775" spans="16:17" x14ac:dyDescent="0.25">
      <c r="P1775" s="164"/>
      <c r="Q1775" s="164"/>
    </row>
    <row r="1776" spans="16:17" x14ac:dyDescent="0.25">
      <c r="P1776" s="164"/>
      <c r="Q1776" s="164"/>
    </row>
    <row r="1777" spans="16:17" x14ac:dyDescent="0.25">
      <c r="P1777" s="164"/>
      <c r="Q1777" s="164"/>
    </row>
    <row r="1778" spans="16:17" x14ac:dyDescent="0.25">
      <c r="P1778" s="164"/>
      <c r="Q1778" s="164"/>
    </row>
    <row r="1779" spans="16:17" x14ac:dyDescent="0.25">
      <c r="P1779" s="164"/>
      <c r="Q1779" s="164"/>
    </row>
    <row r="1780" spans="16:17" x14ac:dyDescent="0.25">
      <c r="P1780" s="164"/>
      <c r="Q1780" s="164"/>
    </row>
    <row r="1781" spans="16:17" x14ac:dyDescent="0.25">
      <c r="P1781" s="164"/>
      <c r="Q1781" s="164"/>
    </row>
    <row r="1782" spans="16:17" x14ac:dyDescent="0.25">
      <c r="P1782" s="164"/>
      <c r="Q1782" s="164"/>
    </row>
    <row r="1783" spans="16:17" x14ac:dyDescent="0.25">
      <c r="P1783" s="164"/>
      <c r="Q1783" s="164"/>
    </row>
    <row r="1784" spans="16:17" x14ac:dyDescent="0.25">
      <c r="P1784" s="164"/>
      <c r="Q1784" s="164"/>
    </row>
    <row r="1785" spans="16:17" x14ac:dyDescent="0.25">
      <c r="P1785" s="164"/>
      <c r="Q1785" s="164"/>
    </row>
    <row r="1786" spans="16:17" x14ac:dyDescent="0.25">
      <c r="P1786" s="164"/>
      <c r="Q1786" s="164"/>
    </row>
    <row r="1787" spans="16:17" x14ac:dyDescent="0.25">
      <c r="P1787" s="164"/>
      <c r="Q1787" s="164"/>
    </row>
    <row r="1788" spans="16:17" x14ac:dyDescent="0.25">
      <c r="P1788" s="164"/>
      <c r="Q1788" s="164"/>
    </row>
    <row r="1789" spans="16:17" x14ac:dyDescent="0.25">
      <c r="P1789" s="164"/>
      <c r="Q1789" s="164"/>
    </row>
    <row r="1790" spans="16:17" x14ac:dyDescent="0.25">
      <c r="P1790" s="164"/>
      <c r="Q1790" s="164"/>
    </row>
    <row r="1791" spans="16:17" x14ac:dyDescent="0.25">
      <c r="P1791" s="164"/>
      <c r="Q1791" s="164"/>
    </row>
    <row r="1792" spans="16:17" x14ac:dyDescent="0.25">
      <c r="P1792" s="164"/>
      <c r="Q1792" s="164"/>
    </row>
    <row r="1793" spans="16:17" x14ac:dyDescent="0.25">
      <c r="P1793" s="164"/>
      <c r="Q1793" s="164"/>
    </row>
    <row r="1794" spans="16:17" x14ac:dyDescent="0.25">
      <c r="P1794" s="164"/>
      <c r="Q1794" s="164"/>
    </row>
    <row r="1795" spans="16:17" x14ac:dyDescent="0.25">
      <c r="P1795" s="164"/>
      <c r="Q1795" s="164"/>
    </row>
    <row r="1796" spans="16:17" x14ac:dyDescent="0.25">
      <c r="P1796" s="164"/>
      <c r="Q1796" s="164"/>
    </row>
    <row r="1797" spans="16:17" x14ac:dyDescent="0.25">
      <c r="P1797" s="164"/>
      <c r="Q1797" s="164"/>
    </row>
    <row r="1798" spans="16:17" x14ac:dyDescent="0.25">
      <c r="P1798" s="164"/>
      <c r="Q1798" s="164"/>
    </row>
    <row r="1799" spans="16:17" x14ac:dyDescent="0.25">
      <c r="P1799" s="164"/>
      <c r="Q1799" s="164"/>
    </row>
    <row r="1800" spans="16:17" x14ac:dyDescent="0.25">
      <c r="P1800" s="164"/>
      <c r="Q1800" s="164"/>
    </row>
    <row r="1801" spans="16:17" x14ac:dyDescent="0.25">
      <c r="P1801" s="164"/>
      <c r="Q1801" s="164"/>
    </row>
    <row r="1802" spans="16:17" x14ac:dyDescent="0.25">
      <c r="P1802" s="164"/>
      <c r="Q1802" s="164"/>
    </row>
    <row r="1803" spans="16:17" x14ac:dyDescent="0.25">
      <c r="P1803" s="164"/>
      <c r="Q1803" s="164"/>
    </row>
    <row r="1804" spans="16:17" x14ac:dyDescent="0.25">
      <c r="P1804" s="164"/>
      <c r="Q1804" s="164"/>
    </row>
    <row r="1805" spans="16:17" x14ac:dyDescent="0.25">
      <c r="P1805" s="164"/>
      <c r="Q1805" s="164"/>
    </row>
    <row r="1806" spans="16:17" x14ac:dyDescent="0.25">
      <c r="P1806" s="164"/>
      <c r="Q1806" s="164"/>
    </row>
    <row r="1807" spans="16:17" x14ac:dyDescent="0.25">
      <c r="P1807" s="164"/>
      <c r="Q1807" s="164"/>
    </row>
    <row r="1808" spans="16:17" x14ac:dyDescent="0.25">
      <c r="P1808" s="164"/>
      <c r="Q1808" s="164"/>
    </row>
    <row r="1809" spans="16:17" x14ac:dyDescent="0.25">
      <c r="P1809" s="164"/>
      <c r="Q1809" s="164"/>
    </row>
    <row r="1810" spans="16:17" x14ac:dyDescent="0.25">
      <c r="P1810" s="164"/>
      <c r="Q1810" s="164"/>
    </row>
    <row r="1811" spans="16:17" x14ac:dyDescent="0.25">
      <c r="P1811" s="164"/>
      <c r="Q1811" s="164"/>
    </row>
    <row r="1812" spans="16:17" x14ac:dyDescent="0.25">
      <c r="P1812" s="164"/>
      <c r="Q1812" s="164"/>
    </row>
    <row r="1813" spans="16:17" x14ac:dyDescent="0.25">
      <c r="P1813" s="164"/>
      <c r="Q1813" s="164"/>
    </row>
    <row r="1814" spans="16:17" x14ac:dyDescent="0.25">
      <c r="P1814" s="164"/>
      <c r="Q1814" s="164"/>
    </row>
    <row r="1815" spans="16:17" x14ac:dyDescent="0.25">
      <c r="P1815" s="164"/>
      <c r="Q1815" s="164"/>
    </row>
    <row r="1816" spans="16:17" x14ac:dyDescent="0.25">
      <c r="P1816" s="164"/>
      <c r="Q1816" s="164"/>
    </row>
    <row r="1817" spans="16:17" x14ac:dyDescent="0.25">
      <c r="P1817" s="164"/>
      <c r="Q1817" s="164"/>
    </row>
    <row r="1818" spans="16:17" x14ac:dyDescent="0.25">
      <c r="P1818" s="164"/>
      <c r="Q1818" s="164"/>
    </row>
    <row r="1819" spans="16:17" x14ac:dyDescent="0.25">
      <c r="P1819" s="164"/>
      <c r="Q1819" s="164"/>
    </row>
    <row r="1820" spans="16:17" x14ac:dyDescent="0.25">
      <c r="P1820" s="164"/>
      <c r="Q1820" s="164"/>
    </row>
    <row r="1821" spans="16:17" x14ac:dyDescent="0.25">
      <c r="P1821" s="164"/>
      <c r="Q1821" s="164"/>
    </row>
    <row r="1822" spans="16:17" x14ac:dyDescent="0.25">
      <c r="P1822" s="164"/>
      <c r="Q1822" s="164"/>
    </row>
    <row r="1823" spans="16:17" x14ac:dyDescent="0.25">
      <c r="P1823" s="164"/>
      <c r="Q1823" s="164"/>
    </row>
    <row r="1824" spans="16:17" x14ac:dyDescent="0.25">
      <c r="P1824" s="164"/>
      <c r="Q1824" s="164"/>
    </row>
    <row r="1825" spans="16:17" x14ac:dyDescent="0.25">
      <c r="P1825" s="164"/>
      <c r="Q1825" s="164"/>
    </row>
    <row r="1826" spans="16:17" x14ac:dyDescent="0.25">
      <c r="P1826" s="164"/>
      <c r="Q1826" s="164"/>
    </row>
    <row r="1827" spans="16:17" x14ac:dyDescent="0.25">
      <c r="P1827" s="164"/>
      <c r="Q1827" s="164"/>
    </row>
    <row r="1828" spans="16:17" x14ac:dyDescent="0.25">
      <c r="P1828" s="164"/>
      <c r="Q1828" s="164"/>
    </row>
    <row r="1829" spans="16:17" x14ac:dyDescent="0.25">
      <c r="P1829" s="164"/>
      <c r="Q1829" s="164"/>
    </row>
    <row r="1830" spans="16:17" x14ac:dyDescent="0.25">
      <c r="P1830" s="164"/>
      <c r="Q1830" s="164"/>
    </row>
    <row r="1831" spans="16:17" x14ac:dyDescent="0.25">
      <c r="P1831" s="164"/>
      <c r="Q1831" s="164"/>
    </row>
    <row r="1832" spans="16:17" x14ac:dyDescent="0.25">
      <c r="P1832" s="164"/>
      <c r="Q1832" s="164"/>
    </row>
    <row r="1833" spans="16:17" x14ac:dyDescent="0.25">
      <c r="P1833" s="164"/>
      <c r="Q1833" s="164"/>
    </row>
    <row r="1834" spans="16:17" x14ac:dyDescent="0.25">
      <c r="P1834" s="164"/>
      <c r="Q1834" s="164"/>
    </row>
    <row r="1835" spans="16:17" x14ac:dyDescent="0.25">
      <c r="P1835" s="164"/>
      <c r="Q1835" s="164"/>
    </row>
    <row r="1836" spans="16:17" x14ac:dyDescent="0.25">
      <c r="P1836" s="164"/>
      <c r="Q1836" s="164"/>
    </row>
    <row r="1837" spans="16:17" x14ac:dyDescent="0.25">
      <c r="P1837" s="164"/>
      <c r="Q1837" s="164"/>
    </row>
    <row r="1838" spans="16:17" x14ac:dyDescent="0.25">
      <c r="P1838" s="164"/>
      <c r="Q1838" s="164"/>
    </row>
    <row r="1839" spans="16:17" x14ac:dyDescent="0.25">
      <c r="P1839" s="164"/>
      <c r="Q1839" s="164"/>
    </row>
    <row r="1840" spans="16:17" x14ac:dyDescent="0.25">
      <c r="P1840" s="164"/>
      <c r="Q1840" s="164"/>
    </row>
    <row r="1841" spans="16:17" x14ac:dyDescent="0.25">
      <c r="P1841" s="164"/>
      <c r="Q1841" s="164"/>
    </row>
    <row r="1842" spans="16:17" x14ac:dyDescent="0.25">
      <c r="P1842" s="164"/>
      <c r="Q1842" s="164"/>
    </row>
    <row r="1843" spans="16:17" x14ac:dyDescent="0.25">
      <c r="P1843" s="164"/>
      <c r="Q1843" s="164"/>
    </row>
    <row r="1844" spans="16:17" x14ac:dyDescent="0.25">
      <c r="P1844" s="164"/>
      <c r="Q1844" s="164"/>
    </row>
    <row r="1845" spans="16:17" x14ac:dyDescent="0.25">
      <c r="P1845" s="164"/>
      <c r="Q1845" s="164"/>
    </row>
    <row r="1846" spans="16:17" x14ac:dyDescent="0.25">
      <c r="P1846" s="164"/>
      <c r="Q1846" s="164"/>
    </row>
    <row r="1847" spans="16:17" x14ac:dyDescent="0.25">
      <c r="P1847" s="164"/>
      <c r="Q1847" s="164"/>
    </row>
    <row r="1848" spans="16:17" x14ac:dyDescent="0.25">
      <c r="P1848" s="164"/>
      <c r="Q1848" s="164"/>
    </row>
    <row r="1849" spans="16:17" x14ac:dyDescent="0.25">
      <c r="P1849" s="164"/>
      <c r="Q1849" s="164"/>
    </row>
    <row r="1850" spans="16:17" x14ac:dyDescent="0.25">
      <c r="P1850" s="164"/>
      <c r="Q1850" s="164"/>
    </row>
    <row r="1851" spans="16:17" x14ac:dyDescent="0.25">
      <c r="P1851" s="164"/>
      <c r="Q1851" s="164"/>
    </row>
    <row r="1852" spans="16:17" x14ac:dyDescent="0.25">
      <c r="P1852" s="164"/>
      <c r="Q1852" s="164"/>
    </row>
    <row r="1853" spans="16:17" x14ac:dyDescent="0.25">
      <c r="P1853" s="164"/>
      <c r="Q1853" s="164"/>
    </row>
    <row r="1854" spans="16:17" x14ac:dyDescent="0.25">
      <c r="P1854" s="164"/>
      <c r="Q1854" s="164"/>
    </row>
    <row r="1855" spans="16:17" x14ac:dyDescent="0.25">
      <c r="P1855" s="164"/>
      <c r="Q1855" s="164"/>
    </row>
    <row r="1856" spans="16:17" x14ac:dyDescent="0.25">
      <c r="P1856" s="164"/>
      <c r="Q1856" s="164"/>
    </row>
    <row r="1857" spans="16:17" x14ac:dyDescent="0.25">
      <c r="P1857" s="164"/>
      <c r="Q1857" s="164"/>
    </row>
    <row r="1858" spans="16:17" x14ac:dyDescent="0.25">
      <c r="P1858" s="164"/>
      <c r="Q1858" s="164"/>
    </row>
    <row r="1859" spans="16:17" x14ac:dyDescent="0.25">
      <c r="P1859" s="164"/>
      <c r="Q1859" s="164"/>
    </row>
    <row r="1860" spans="16:17" x14ac:dyDescent="0.25">
      <c r="P1860" s="164"/>
      <c r="Q1860" s="164"/>
    </row>
    <row r="1861" spans="16:17" x14ac:dyDescent="0.25">
      <c r="P1861" s="164"/>
      <c r="Q1861" s="164"/>
    </row>
    <row r="1862" spans="16:17" x14ac:dyDescent="0.25">
      <c r="P1862" s="164"/>
      <c r="Q1862" s="164"/>
    </row>
    <row r="1863" spans="16:17" x14ac:dyDescent="0.25">
      <c r="P1863" s="164"/>
      <c r="Q1863" s="164"/>
    </row>
    <row r="1864" spans="16:17" x14ac:dyDescent="0.25">
      <c r="P1864" s="164"/>
      <c r="Q1864" s="164"/>
    </row>
    <row r="1865" spans="16:17" x14ac:dyDescent="0.25">
      <c r="P1865" s="164"/>
      <c r="Q1865" s="164"/>
    </row>
    <row r="1866" spans="16:17" x14ac:dyDescent="0.25">
      <c r="P1866" s="164"/>
      <c r="Q1866" s="164"/>
    </row>
    <row r="1867" spans="16:17" x14ac:dyDescent="0.25">
      <c r="P1867" s="164"/>
      <c r="Q1867" s="164"/>
    </row>
    <row r="1868" spans="16:17" x14ac:dyDescent="0.25">
      <c r="P1868" s="164"/>
      <c r="Q1868" s="164"/>
    </row>
    <row r="1869" spans="16:17" x14ac:dyDescent="0.25">
      <c r="P1869" s="164"/>
      <c r="Q1869" s="164"/>
    </row>
    <row r="1870" spans="16:17" x14ac:dyDescent="0.25">
      <c r="P1870" s="164"/>
      <c r="Q1870" s="164"/>
    </row>
    <row r="1871" spans="16:17" x14ac:dyDescent="0.25">
      <c r="P1871" s="164"/>
      <c r="Q1871" s="164"/>
    </row>
    <row r="1872" spans="16:17" x14ac:dyDescent="0.25">
      <c r="P1872" s="164"/>
      <c r="Q1872" s="164"/>
    </row>
    <row r="1873" spans="16:17" x14ac:dyDescent="0.25">
      <c r="P1873" s="164"/>
      <c r="Q1873" s="164"/>
    </row>
    <row r="1874" spans="16:17" x14ac:dyDescent="0.25">
      <c r="P1874" s="164"/>
      <c r="Q1874" s="164"/>
    </row>
    <row r="1875" spans="16:17" x14ac:dyDescent="0.25">
      <c r="P1875" s="164"/>
      <c r="Q1875" s="164"/>
    </row>
    <row r="1876" spans="16:17" x14ac:dyDescent="0.25">
      <c r="P1876" s="164"/>
      <c r="Q1876" s="164"/>
    </row>
    <row r="1877" spans="16:17" x14ac:dyDescent="0.25">
      <c r="P1877" s="164"/>
      <c r="Q1877" s="164"/>
    </row>
    <row r="1878" spans="16:17" x14ac:dyDescent="0.25">
      <c r="P1878" s="164"/>
      <c r="Q1878" s="164"/>
    </row>
    <row r="1879" spans="16:17" x14ac:dyDescent="0.25">
      <c r="P1879" s="164"/>
      <c r="Q1879" s="164"/>
    </row>
    <row r="1880" spans="16:17" x14ac:dyDescent="0.25">
      <c r="P1880" s="164"/>
      <c r="Q1880" s="164"/>
    </row>
    <row r="1881" spans="16:17" x14ac:dyDescent="0.25">
      <c r="P1881" s="164"/>
      <c r="Q1881" s="164"/>
    </row>
    <row r="1882" spans="16:17" x14ac:dyDescent="0.25">
      <c r="P1882" s="164"/>
      <c r="Q1882" s="164"/>
    </row>
    <row r="1883" spans="16:17" x14ac:dyDescent="0.25">
      <c r="P1883" s="164"/>
      <c r="Q1883" s="164"/>
    </row>
    <row r="1884" spans="16:17" x14ac:dyDescent="0.25">
      <c r="P1884" s="164"/>
      <c r="Q1884" s="164"/>
    </row>
    <row r="1885" spans="16:17" x14ac:dyDescent="0.25">
      <c r="P1885" s="164"/>
      <c r="Q1885" s="164"/>
    </row>
    <row r="1886" spans="16:17" x14ac:dyDescent="0.25">
      <c r="P1886" s="164"/>
      <c r="Q1886" s="164"/>
    </row>
    <row r="1887" spans="16:17" x14ac:dyDescent="0.25">
      <c r="P1887" s="164"/>
      <c r="Q1887" s="164"/>
    </row>
    <row r="1888" spans="16:17" x14ac:dyDescent="0.25">
      <c r="P1888" s="164"/>
      <c r="Q1888" s="164"/>
    </row>
    <row r="1889" spans="16:17" x14ac:dyDescent="0.25">
      <c r="P1889" s="164"/>
      <c r="Q1889" s="164"/>
    </row>
    <row r="1890" spans="16:17" x14ac:dyDescent="0.25">
      <c r="P1890" s="164"/>
      <c r="Q1890" s="164"/>
    </row>
    <row r="1891" spans="16:17" x14ac:dyDescent="0.25">
      <c r="P1891" s="164"/>
      <c r="Q1891" s="164"/>
    </row>
    <row r="1892" spans="16:17" x14ac:dyDescent="0.25">
      <c r="P1892" s="164"/>
      <c r="Q1892" s="164"/>
    </row>
    <row r="1893" spans="16:17" x14ac:dyDescent="0.25">
      <c r="P1893" s="164"/>
      <c r="Q1893" s="164"/>
    </row>
    <row r="1894" spans="16:17" x14ac:dyDescent="0.25">
      <c r="P1894" s="164"/>
      <c r="Q1894" s="164"/>
    </row>
    <row r="1895" spans="16:17" x14ac:dyDescent="0.25">
      <c r="P1895" s="164"/>
      <c r="Q1895" s="164"/>
    </row>
    <row r="1896" spans="16:17" x14ac:dyDescent="0.25">
      <c r="P1896" s="164"/>
      <c r="Q1896" s="164"/>
    </row>
    <row r="1897" spans="16:17" x14ac:dyDescent="0.25">
      <c r="P1897" s="164"/>
      <c r="Q1897" s="164"/>
    </row>
    <row r="1898" spans="16:17" x14ac:dyDescent="0.25">
      <c r="P1898" s="164"/>
      <c r="Q1898" s="164"/>
    </row>
    <row r="1899" spans="16:17" x14ac:dyDescent="0.25">
      <c r="P1899" s="164"/>
      <c r="Q1899" s="164"/>
    </row>
    <row r="1900" spans="16:17" x14ac:dyDescent="0.25">
      <c r="P1900" s="164"/>
      <c r="Q1900" s="164"/>
    </row>
    <row r="1901" spans="16:17" x14ac:dyDescent="0.25">
      <c r="P1901" s="164"/>
      <c r="Q1901" s="164"/>
    </row>
    <row r="1902" spans="16:17" x14ac:dyDescent="0.25">
      <c r="P1902" s="164"/>
      <c r="Q1902" s="164"/>
    </row>
    <row r="1903" spans="16:17" x14ac:dyDescent="0.25">
      <c r="P1903" s="164"/>
      <c r="Q1903" s="164"/>
    </row>
    <row r="1904" spans="16:17" x14ac:dyDescent="0.25">
      <c r="P1904" s="164"/>
      <c r="Q1904" s="164"/>
    </row>
    <row r="1905" spans="16:17" x14ac:dyDescent="0.25">
      <c r="P1905" s="164"/>
      <c r="Q1905" s="164"/>
    </row>
    <row r="1906" spans="16:17" x14ac:dyDescent="0.25">
      <c r="P1906" s="164"/>
      <c r="Q1906" s="164"/>
    </row>
    <row r="1907" spans="16:17" x14ac:dyDescent="0.25">
      <c r="P1907" s="164"/>
      <c r="Q1907" s="164"/>
    </row>
    <row r="1908" spans="16:17" x14ac:dyDescent="0.25">
      <c r="P1908" s="164"/>
      <c r="Q1908" s="164"/>
    </row>
    <row r="1909" spans="16:17" x14ac:dyDescent="0.25">
      <c r="P1909" s="164"/>
      <c r="Q1909" s="164"/>
    </row>
    <row r="1910" spans="16:17" x14ac:dyDescent="0.25">
      <c r="P1910" s="164"/>
      <c r="Q1910" s="164"/>
    </row>
    <row r="1911" spans="16:17" x14ac:dyDescent="0.25">
      <c r="P1911" s="164"/>
      <c r="Q1911" s="164"/>
    </row>
    <row r="1912" spans="16:17" x14ac:dyDescent="0.25">
      <c r="P1912" s="164"/>
      <c r="Q1912" s="164"/>
    </row>
    <row r="1913" spans="16:17" x14ac:dyDescent="0.25">
      <c r="P1913" s="164"/>
      <c r="Q1913" s="164"/>
    </row>
    <row r="1914" spans="16:17" x14ac:dyDescent="0.25">
      <c r="P1914" s="164"/>
      <c r="Q1914" s="164"/>
    </row>
    <row r="1915" spans="16:17" x14ac:dyDescent="0.25">
      <c r="P1915" s="164"/>
      <c r="Q1915" s="164"/>
    </row>
    <row r="1916" spans="16:17" x14ac:dyDescent="0.25">
      <c r="P1916" s="164"/>
      <c r="Q1916" s="164"/>
    </row>
    <row r="1917" spans="16:17" x14ac:dyDescent="0.25">
      <c r="P1917" s="164"/>
      <c r="Q1917" s="164"/>
    </row>
    <row r="1918" spans="16:17" x14ac:dyDescent="0.25">
      <c r="P1918" s="164"/>
      <c r="Q1918" s="164"/>
    </row>
    <row r="1919" spans="16:17" x14ac:dyDescent="0.25">
      <c r="P1919" s="164"/>
      <c r="Q1919" s="164"/>
    </row>
    <row r="1920" spans="16:17" x14ac:dyDescent="0.25">
      <c r="P1920" s="164"/>
      <c r="Q1920" s="164"/>
    </row>
    <row r="1921" spans="16:17" x14ac:dyDescent="0.25">
      <c r="P1921" s="164"/>
      <c r="Q1921" s="164"/>
    </row>
    <row r="1922" spans="16:17" x14ac:dyDescent="0.25">
      <c r="P1922" s="164"/>
      <c r="Q1922" s="164"/>
    </row>
    <row r="1923" spans="16:17" x14ac:dyDescent="0.25">
      <c r="P1923" s="164"/>
      <c r="Q1923" s="164"/>
    </row>
    <row r="1924" spans="16:17" x14ac:dyDescent="0.25">
      <c r="P1924" s="164"/>
      <c r="Q1924" s="164"/>
    </row>
    <row r="1925" spans="16:17" x14ac:dyDescent="0.25">
      <c r="P1925" s="164"/>
      <c r="Q1925" s="164"/>
    </row>
    <row r="1926" spans="16:17" x14ac:dyDescent="0.25">
      <c r="P1926" s="164"/>
      <c r="Q1926" s="164"/>
    </row>
    <row r="1927" spans="16:17" x14ac:dyDescent="0.25">
      <c r="P1927" s="164"/>
      <c r="Q1927" s="164"/>
    </row>
    <row r="1928" spans="16:17" x14ac:dyDescent="0.25">
      <c r="P1928" s="164"/>
      <c r="Q1928" s="164"/>
    </row>
    <row r="1929" spans="16:17" x14ac:dyDescent="0.25">
      <c r="P1929" s="164"/>
      <c r="Q1929" s="164"/>
    </row>
    <row r="1930" spans="16:17" x14ac:dyDescent="0.25">
      <c r="P1930" s="164"/>
      <c r="Q1930" s="164"/>
    </row>
    <row r="1931" spans="16:17" x14ac:dyDescent="0.25">
      <c r="P1931" s="164"/>
      <c r="Q1931" s="164"/>
    </row>
    <row r="1932" spans="16:17" x14ac:dyDescent="0.25">
      <c r="P1932" s="164"/>
      <c r="Q1932" s="164"/>
    </row>
    <row r="1933" spans="16:17" x14ac:dyDescent="0.25">
      <c r="P1933" s="164"/>
      <c r="Q1933" s="164"/>
    </row>
    <row r="1934" spans="16:17" x14ac:dyDescent="0.25">
      <c r="P1934" s="164"/>
      <c r="Q1934" s="164"/>
    </row>
    <row r="1935" spans="16:17" x14ac:dyDescent="0.25">
      <c r="P1935" s="164"/>
      <c r="Q1935" s="164"/>
    </row>
    <row r="1936" spans="16:17" x14ac:dyDescent="0.25">
      <c r="P1936" s="164"/>
      <c r="Q1936" s="164"/>
    </row>
    <row r="1937" spans="16:17" x14ac:dyDescent="0.25">
      <c r="P1937" s="164"/>
      <c r="Q1937" s="164"/>
    </row>
    <row r="1938" spans="16:17" x14ac:dyDescent="0.25">
      <c r="P1938" s="164"/>
      <c r="Q1938" s="164"/>
    </row>
    <row r="1939" spans="16:17" x14ac:dyDescent="0.25">
      <c r="P1939" s="164"/>
      <c r="Q1939" s="164"/>
    </row>
    <row r="1940" spans="16:17" x14ac:dyDescent="0.25">
      <c r="P1940" s="164"/>
      <c r="Q1940" s="164"/>
    </row>
    <row r="1941" spans="16:17" x14ac:dyDescent="0.25">
      <c r="P1941" s="164"/>
      <c r="Q1941" s="164"/>
    </row>
    <row r="1942" spans="16:17" x14ac:dyDescent="0.25">
      <c r="P1942" s="164"/>
      <c r="Q1942" s="164"/>
    </row>
    <row r="1943" spans="16:17" x14ac:dyDescent="0.25">
      <c r="P1943" s="164"/>
      <c r="Q1943" s="164"/>
    </row>
    <row r="1944" spans="16:17" x14ac:dyDescent="0.25">
      <c r="P1944" s="164"/>
      <c r="Q1944" s="164"/>
    </row>
    <row r="1945" spans="16:17" x14ac:dyDescent="0.25">
      <c r="P1945" s="164"/>
      <c r="Q1945" s="164"/>
    </row>
    <row r="1946" spans="16:17" x14ac:dyDescent="0.25">
      <c r="P1946" s="164"/>
      <c r="Q1946" s="164"/>
    </row>
    <row r="1947" spans="16:17" x14ac:dyDescent="0.25">
      <c r="P1947" s="164"/>
      <c r="Q1947" s="164"/>
    </row>
    <row r="1948" spans="16:17" x14ac:dyDescent="0.25">
      <c r="P1948" s="164"/>
      <c r="Q1948" s="164"/>
    </row>
    <row r="1949" spans="16:17" x14ac:dyDescent="0.25">
      <c r="P1949" s="164"/>
      <c r="Q1949" s="164"/>
    </row>
    <row r="1950" spans="16:17" x14ac:dyDescent="0.25">
      <c r="P1950" s="164"/>
      <c r="Q1950" s="164"/>
    </row>
    <row r="1951" spans="16:17" x14ac:dyDescent="0.25">
      <c r="P1951" s="164"/>
      <c r="Q1951" s="164"/>
    </row>
    <row r="1952" spans="16:17" x14ac:dyDescent="0.25">
      <c r="P1952" s="164"/>
      <c r="Q1952" s="164"/>
    </row>
    <row r="1953" spans="16:17" x14ac:dyDescent="0.25">
      <c r="P1953" s="164"/>
      <c r="Q1953" s="164"/>
    </row>
    <row r="1954" spans="16:17" x14ac:dyDescent="0.25">
      <c r="P1954" s="164"/>
      <c r="Q1954" s="164"/>
    </row>
    <row r="1955" spans="16:17" x14ac:dyDescent="0.25">
      <c r="P1955" s="164"/>
      <c r="Q1955" s="164"/>
    </row>
    <row r="1956" spans="16:17" x14ac:dyDescent="0.25">
      <c r="P1956" s="164"/>
      <c r="Q1956" s="164"/>
    </row>
    <row r="1957" spans="16:17" x14ac:dyDescent="0.25">
      <c r="P1957" s="164"/>
      <c r="Q1957" s="164"/>
    </row>
    <row r="1958" spans="16:17" x14ac:dyDescent="0.25">
      <c r="P1958" s="164"/>
      <c r="Q1958" s="164"/>
    </row>
    <row r="1959" spans="16:17" x14ac:dyDescent="0.25">
      <c r="P1959" s="164"/>
      <c r="Q1959" s="164"/>
    </row>
    <row r="1960" spans="16:17" x14ac:dyDescent="0.25">
      <c r="P1960" s="164"/>
      <c r="Q1960" s="164"/>
    </row>
    <row r="1961" spans="16:17" x14ac:dyDescent="0.25">
      <c r="P1961" s="164"/>
      <c r="Q1961" s="164"/>
    </row>
    <row r="1962" spans="16:17" x14ac:dyDescent="0.25">
      <c r="P1962" s="164"/>
      <c r="Q1962" s="164"/>
    </row>
    <row r="1963" spans="16:17" x14ac:dyDescent="0.25">
      <c r="P1963" s="164"/>
      <c r="Q1963" s="164"/>
    </row>
    <row r="1964" spans="16:17" x14ac:dyDescent="0.25">
      <c r="P1964" s="164"/>
      <c r="Q1964" s="164"/>
    </row>
    <row r="1965" spans="16:17" x14ac:dyDescent="0.25">
      <c r="P1965" s="164"/>
      <c r="Q1965" s="164"/>
    </row>
    <row r="1966" spans="16:17" x14ac:dyDescent="0.25">
      <c r="P1966" s="164"/>
      <c r="Q1966" s="164"/>
    </row>
    <row r="1967" spans="16:17" x14ac:dyDescent="0.25">
      <c r="P1967" s="164"/>
      <c r="Q1967" s="164"/>
    </row>
    <row r="1968" spans="16:17" x14ac:dyDescent="0.25">
      <c r="P1968" s="164"/>
      <c r="Q1968" s="164"/>
    </row>
    <row r="1969" spans="16:17" x14ac:dyDescent="0.25">
      <c r="P1969" s="164"/>
      <c r="Q1969" s="164"/>
    </row>
    <row r="1970" spans="16:17" x14ac:dyDescent="0.25">
      <c r="P1970" s="164"/>
      <c r="Q1970" s="164"/>
    </row>
    <row r="1971" spans="16:17" x14ac:dyDescent="0.25">
      <c r="P1971" s="164"/>
      <c r="Q1971" s="164"/>
    </row>
    <row r="1972" spans="16:17" x14ac:dyDescent="0.25">
      <c r="P1972" s="164"/>
      <c r="Q1972" s="164"/>
    </row>
    <row r="1973" spans="16:17" x14ac:dyDescent="0.25">
      <c r="P1973" s="164"/>
      <c r="Q1973" s="164"/>
    </row>
    <row r="1974" spans="16:17" x14ac:dyDescent="0.25">
      <c r="P1974" s="164"/>
      <c r="Q1974" s="164"/>
    </row>
    <row r="1975" spans="16:17" x14ac:dyDescent="0.25">
      <c r="P1975" s="164"/>
      <c r="Q1975" s="164"/>
    </row>
    <row r="1976" spans="16:17" x14ac:dyDescent="0.25">
      <c r="P1976" s="164"/>
      <c r="Q1976" s="164"/>
    </row>
    <row r="1977" spans="16:17" x14ac:dyDescent="0.25">
      <c r="P1977" s="164"/>
      <c r="Q1977" s="164"/>
    </row>
    <row r="1978" spans="16:17" x14ac:dyDescent="0.25">
      <c r="P1978" s="164"/>
      <c r="Q1978" s="164"/>
    </row>
    <row r="1979" spans="16:17" x14ac:dyDescent="0.25">
      <c r="P1979" s="164"/>
      <c r="Q1979" s="164"/>
    </row>
    <row r="1980" spans="16:17" x14ac:dyDescent="0.25">
      <c r="P1980" s="164"/>
      <c r="Q1980" s="164"/>
    </row>
    <row r="1981" spans="16:17" x14ac:dyDescent="0.25">
      <c r="P1981" s="164"/>
      <c r="Q1981" s="164"/>
    </row>
    <row r="1982" spans="16:17" x14ac:dyDescent="0.25">
      <c r="P1982" s="164"/>
      <c r="Q1982" s="164"/>
    </row>
    <row r="1983" spans="16:17" x14ac:dyDescent="0.25">
      <c r="P1983" s="164"/>
      <c r="Q1983" s="164"/>
    </row>
    <row r="1984" spans="16:17" x14ac:dyDescent="0.25">
      <c r="P1984" s="164"/>
      <c r="Q1984" s="164"/>
    </row>
    <row r="1985" spans="16:17" x14ac:dyDescent="0.25">
      <c r="P1985" s="164"/>
      <c r="Q1985" s="164"/>
    </row>
    <row r="1986" spans="16:17" x14ac:dyDescent="0.25">
      <c r="P1986" s="164"/>
      <c r="Q1986" s="164"/>
    </row>
    <row r="1987" spans="16:17" x14ac:dyDescent="0.25">
      <c r="P1987" s="164"/>
      <c r="Q1987" s="164"/>
    </row>
    <row r="1988" spans="16:17" x14ac:dyDescent="0.25">
      <c r="P1988" s="164"/>
      <c r="Q1988" s="164"/>
    </row>
    <row r="1989" spans="16:17" x14ac:dyDescent="0.25">
      <c r="P1989" s="164"/>
      <c r="Q1989" s="164"/>
    </row>
    <row r="1990" spans="16:17" x14ac:dyDescent="0.25">
      <c r="P1990" s="164"/>
      <c r="Q1990" s="164"/>
    </row>
    <row r="1991" spans="16:17" x14ac:dyDescent="0.25">
      <c r="P1991" s="164"/>
      <c r="Q1991" s="164"/>
    </row>
    <row r="1992" spans="16:17" x14ac:dyDescent="0.25">
      <c r="P1992" s="164"/>
      <c r="Q1992" s="164"/>
    </row>
    <row r="1993" spans="16:17" x14ac:dyDescent="0.25">
      <c r="P1993" s="164"/>
      <c r="Q1993" s="164"/>
    </row>
    <row r="1994" spans="16:17" x14ac:dyDescent="0.25">
      <c r="P1994" s="164"/>
      <c r="Q1994" s="164"/>
    </row>
    <row r="1995" spans="16:17" x14ac:dyDescent="0.25">
      <c r="P1995" s="164"/>
      <c r="Q1995" s="164"/>
    </row>
  </sheetData>
  <sheetProtection algorithmName="SHA-512" hashValue="agCsXETUI3pV/5nP7dS7QOZTsoia8FVQGP4CIC0rxUYuxrkidh4LG1oryV2BpXzxaekzVpPMRVbm18DN4atl7Q==" saltValue="6Pxzp7Z2G1QjBAR/wOqCxA==" spinCount="100000" sheet="1" objects="1" scenarios="1"/>
  <autoFilter ref="A7:S1123" xr:uid="{F917F5D6-E569-45E8-8998-683C5DF4FDFB}">
    <filterColumn colId="1">
      <colorFilter dxfId="0"/>
    </filterColumn>
  </autoFilter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5">
    <tabColor theme="7" tint="0.59999389629810485"/>
    <pageSetUpPr fitToPage="1"/>
  </sheetPr>
  <dimension ref="A3:L41"/>
  <sheetViews>
    <sheetView workbookViewId="0"/>
  </sheetViews>
  <sheetFormatPr baseColWidth="10" defaultColWidth="11.453125" defaultRowHeight="14.5" x14ac:dyDescent="0.35"/>
  <cols>
    <col min="1" max="1" width="36.26953125" style="104" bestFit="1" customWidth="1"/>
    <col min="2" max="2" width="8" style="104" bestFit="1" customWidth="1"/>
    <col min="3" max="3" width="8.54296875" style="104" bestFit="1" customWidth="1"/>
    <col min="4" max="4" width="11.453125" style="104"/>
    <col min="5" max="5" width="12.453125" style="104" bestFit="1" customWidth="1"/>
    <col min="6" max="8" width="11.453125" style="104"/>
    <col min="9" max="9" width="12" style="104" customWidth="1"/>
    <col min="10" max="16384" width="11.453125" style="104"/>
  </cols>
  <sheetData>
    <row r="3" spans="1:12" x14ac:dyDescent="0.35">
      <c r="A3" s="105" t="s">
        <v>121</v>
      </c>
      <c r="B3" s="106" t="s">
        <v>122</v>
      </c>
      <c r="C3" s="106" t="s">
        <v>147</v>
      </c>
    </row>
    <row r="4" spans="1:12" x14ac:dyDescent="0.35">
      <c r="A4" s="96" t="s">
        <v>237</v>
      </c>
      <c r="B4" s="108"/>
      <c r="C4" s="107">
        <f t="shared" ref="C4:C41" si="0">IFERROR(VLOOKUP(B4,$E$7:$F$16,2),$F$7)</f>
        <v>12900</v>
      </c>
    </row>
    <row r="5" spans="1:12" x14ac:dyDescent="0.35">
      <c r="A5" s="96" t="s">
        <v>235</v>
      </c>
      <c r="B5" s="108"/>
      <c r="C5" s="107">
        <f t="shared" si="0"/>
        <v>12900</v>
      </c>
      <c r="F5" s="167"/>
    </row>
    <row r="6" spans="1:12" x14ac:dyDescent="0.35">
      <c r="A6" s="107" t="s">
        <v>251</v>
      </c>
      <c r="B6" s="108"/>
      <c r="C6" s="107">
        <f t="shared" si="0"/>
        <v>12900</v>
      </c>
      <c r="E6" s="109" t="s">
        <v>458</v>
      </c>
      <c r="F6" s="110"/>
      <c r="H6" s="109" t="s">
        <v>326</v>
      </c>
      <c r="I6" s="110"/>
    </row>
    <row r="7" spans="1:12" x14ac:dyDescent="0.35">
      <c r="A7" s="107" t="s">
        <v>261</v>
      </c>
      <c r="B7" s="108"/>
      <c r="C7" s="107">
        <f t="shared" si="0"/>
        <v>12900</v>
      </c>
      <c r="E7" s="110">
        <v>2015</v>
      </c>
      <c r="F7" s="110">
        <v>12900</v>
      </c>
      <c r="H7" s="110">
        <v>2014</v>
      </c>
      <c r="I7" s="166">
        <v>11800</v>
      </c>
      <c r="K7" s="192"/>
      <c r="L7" s="193"/>
    </row>
    <row r="8" spans="1:12" x14ac:dyDescent="0.35">
      <c r="A8" s="107" t="s">
        <v>238</v>
      </c>
      <c r="B8" s="108"/>
      <c r="C8" s="107">
        <f t="shared" si="0"/>
        <v>12900</v>
      </c>
      <c r="E8" s="110">
        <v>2016</v>
      </c>
      <c r="F8" s="110">
        <v>25900</v>
      </c>
      <c r="H8" s="110">
        <v>2015</v>
      </c>
      <c r="I8" s="166">
        <v>22900</v>
      </c>
      <c r="K8" s="192"/>
      <c r="L8" s="193"/>
    </row>
    <row r="9" spans="1:12" x14ac:dyDescent="0.35">
      <c r="A9" s="107" t="s">
        <v>239</v>
      </c>
      <c r="B9" s="108"/>
      <c r="C9" s="107">
        <f t="shared" si="0"/>
        <v>12900</v>
      </c>
      <c r="E9" s="110">
        <v>2017</v>
      </c>
      <c r="F9" s="110">
        <v>25900</v>
      </c>
      <c r="H9" s="110">
        <v>2016</v>
      </c>
      <c r="I9" s="166">
        <v>22900</v>
      </c>
      <c r="K9" s="192"/>
      <c r="L9" s="193"/>
    </row>
    <row r="10" spans="1:12" x14ac:dyDescent="0.35">
      <c r="A10" s="96" t="s">
        <v>234</v>
      </c>
      <c r="B10" s="108"/>
      <c r="C10" s="107">
        <f t="shared" si="0"/>
        <v>12900</v>
      </c>
      <c r="E10" s="110">
        <v>2018</v>
      </c>
      <c r="F10" s="110">
        <v>25900</v>
      </c>
      <c r="H10" s="110">
        <v>2017</v>
      </c>
      <c r="I10" s="166">
        <v>22900</v>
      </c>
      <c r="K10" s="192"/>
      <c r="L10" s="193"/>
    </row>
    <row r="11" spans="1:12" x14ac:dyDescent="0.35">
      <c r="A11" s="107" t="s">
        <v>240</v>
      </c>
      <c r="B11" s="108"/>
      <c r="C11" s="107">
        <f t="shared" si="0"/>
        <v>12900</v>
      </c>
      <c r="E11" s="110">
        <v>2019</v>
      </c>
      <c r="F11" s="110">
        <v>29300</v>
      </c>
      <c r="H11" s="110">
        <v>2018</v>
      </c>
      <c r="I11" s="166">
        <v>26000</v>
      </c>
      <c r="K11" s="192"/>
      <c r="L11" s="193"/>
    </row>
    <row r="12" spans="1:12" x14ac:dyDescent="0.35">
      <c r="A12" s="107" t="s">
        <v>241</v>
      </c>
      <c r="B12" s="108"/>
      <c r="C12" s="107">
        <f t="shared" si="0"/>
        <v>12900</v>
      </c>
      <c r="E12" s="110">
        <v>2020</v>
      </c>
      <c r="F12" s="110">
        <v>29300</v>
      </c>
      <c r="H12" s="110">
        <v>2019</v>
      </c>
      <c r="I12" s="166">
        <v>26000</v>
      </c>
      <c r="K12" s="192"/>
      <c r="L12" s="193"/>
    </row>
    <row r="13" spans="1:12" x14ac:dyDescent="0.35">
      <c r="A13" s="107" t="s">
        <v>242</v>
      </c>
      <c r="B13" s="108"/>
      <c r="C13" s="107">
        <f t="shared" si="0"/>
        <v>12900</v>
      </c>
      <c r="E13" s="110">
        <v>2021</v>
      </c>
      <c r="F13" s="110">
        <v>29300</v>
      </c>
      <c r="H13" s="110">
        <v>2020</v>
      </c>
      <c r="I13" s="166">
        <v>26000</v>
      </c>
      <c r="K13" s="192"/>
      <c r="L13" s="193"/>
    </row>
    <row r="14" spans="1:12" x14ac:dyDescent="0.35">
      <c r="A14" s="96" t="s">
        <v>236</v>
      </c>
      <c r="B14" s="108"/>
      <c r="C14" s="107">
        <f t="shared" si="0"/>
        <v>12900</v>
      </c>
      <c r="E14" s="110">
        <v>2022</v>
      </c>
      <c r="F14" s="110">
        <v>36500</v>
      </c>
      <c r="H14" s="110">
        <v>2021</v>
      </c>
      <c r="I14" s="166">
        <v>29200</v>
      </c>
      <c r="K14" s="192"/>
      <c r="L14" s="193"/>
    </row>
    <row r="15" spans="1:12" x14ac:dyDescent="0.35">
      <c r="A15" s="107" t="s">
        <v>243</v>
      </c>
      <c r="B15" s="108"/>
      <c r="C15" s="107">
        <f t="shared" si="0"/>
        <v>12900</v>
      </c>
      <c r="E15" s="110">
        <v>2023</v>
      </c>
      <c r="F15" s="110">
        <v>36500</v>
      </c>
      <c r="H15" s="110">
        <v>2022</v>
      </c>
      <c r="I15" s="166">
        <v>29200</v>
      </c>
      <c r="K15" s="192"/>
      <c r="L15" s="193"/>
    </row>
    <row r="16" spans="1:12" x14ac:dyDescent="0.35">
      <c r="A16" s="107" t="s">
        <v>244</v>
      </c>
      <c r="B16" s="108"/>
      <c r="C16" s="107">
        <f t="shared" si="0"/>
        <v>12900</v>
      </c>
      <c r="E16" s="110">
        <v>2024</v>
      </c>
      <c r="F16" s="110">
        <v>36500</v>
      </c>
      <c r="H16" s="110">
        <v>2023</v>
      </c>
      <c r="I16" s="166">
        <v>29200</v>
      </c>
      <c r="K16" s="192"/>
      <c r="L16" s="193"/>
    </row>
    <row r="17" spans="1:10" x14ac:dyDescent="0.35">
      <c r="A17" s="96" t="s">
        <v>233</v>
      </c>
      <c r="B17" s="108"/>
      <c r="C17" s="107">
        <f t="shared" si="0"/>
        <v>12900</v>
      </c>
    </row>
    <row r="18" spans="1:10" x14ac:dyDescent="0.35">
      <c r="A18" s="107" t="s">
        <v>245</v>
      </c>
      <c r="B18" s="108"/>
      <c r="C18" s="107">
        <f t="shared" si="0"/>
        <v>12900</v>
      </c>
      <c r="J18" s="145"/>
    </row>
    <row r="19" spans="1:10" x14ac:dyDescent="0.35">
      <c r="A19" s="107" t="s">
        <v>262</v>
      </c>
      <c r="B19" s="108"/>
      <c r="C19" s="107">
        <f t="shared" si="0"/>
        <v>12900</v>
      </c>
      <c r="F19" s="152"/>
    </row>
    <row r="20" spans="1:10" x14ac:dyDescent="0.35">
      <c r="A20" s="107" t="s">
        <v>246</v>
      </c>
      <c r="B20" s="108"/>
      <c r="C20" s="107">
        <f t="shared" si="0"/>
        <v>12900</v>
      </c>
      <c r="F20" s="152"/>
    </row>
    <row r="21" spans="1:10" x14ac:dyDescent="0.35">
      <c r="A21" s="107" t="s">
        <v>260</v>
      </c>
      <c r="B21" s="108"/>
      <c r="C21" s="107">
        <f t="shared" si="0"/>
        <v>12900</v>
      </c>
      <c r="F21" s="152"/>
    </row>
    <row r="22" spans="1:10" x14ac:dyDescent="0.35">
      <c r="A22" s="107" t="s">
        <v>247</v>
      </c>
      <c r="B22" s="108"/>
      <c r="C22" s="107">
        <f t="shared" si="0"/>
        <v>12900</v>
      </c>
      <c r="F22" s="152"/>
    </row>
    <row r="23" spans="1:10" x14ac:dyDescent="0.35">
      <c r="A23" s="107" t="s">
        <v>248</v>
      </c>
      <c r="B23" s="108"/>
      <c r="C23" s="107">
        <f t="shared" si="0"/>
        <v>12900</v>
      </c>
      <c r="F23" s="152"/>
    </row>
    <row r="24" spans="1:10" x14ac:dyDescent="0.35">
      <c r="A24" s="107" t="s">
        <v>249</v>
      </c>
      <c r="B24" s="108"/>
      <c r="C24" s="107">
        <f t="shared" si="0"/>
        <v>12900</v>
      </c>
      <c r="F24" s="152"/>
    </row>
    <row r="25" spans="1:10" x14ac:dyDescent="0.35">
      <c r="A25" s="107" t="s">
        <v>250</v>
      </c>
      <c r="B25" s="108"/>
      <c r="C25" s="107">
        <f t="shared" si="0"/>
        <v>12900</v>
      </c>
      <c r="F25" s="152"/>
    </row>
    <row r="26" spans="1:10" x14ac:dyDescent="0.35">
      <c r="A26" s="107" t="s">
        <v>232</v>
      </c>
      <c r="B26" s="108"/>
      <c r="C26" s="107">
        <f t="shared" si="0"/>
        <v>12900</v>
      </c>
      <c r="F26" s="152"/>
    </row>
    <row r="27" spans="1:10" x14ac:dyDescent="0.35">
      <c r="A27" s="107" t="s">
        <v>252</v>
      </c>
      <c r="B27" s="108"/>
      <c r="C27" s="107">
        <f t="shared" si="0"/>
        <v>12900</v>
      </c>
      <c r="F27" s="152"/>
    </row>
    <row r="28" spans="1:10" x14ac:dyDescent="0.35">
      <c r="A28" s="107" t="s">
        <v>253</v>
      </c>
      <c r="B28" s="108"/>
      <c r="C28" s="107">
        <f t="shared" si="0"/>
        <v>12900</v>
      </c>
      <c r="F28" s="152"/>
    </row>
    <row r="29" spans="1:10" x14ac:dyDescent="0.35">
      <c r="A29" s="107" t="s">
        <v>254</v>
      </c>
      <c r="B29" s="108"/>
      <c r="C29" s="107">
        <f t="shared" si="0"/>
        <v>12900</v>
      </c>
      <c r="F29" s="152"/>
    </row>
    <row r="30" spans="1:10" x14ac:dyDescent="0.35">
      <c r="A30" s="107" t="s">
        <v>255</v>
      </c>
      <c r="B30" s="108"/>
      <c r="C30" s="107">
        <f t="shared" si="0"/>
        <v>12900</v>
      </c>
      <c r="F30" s="152"/>
    </row>
    <row r="31" spans="1:10" x14ac:dyDescent="0.35">
      <c r="A31" s="107" t="s">
        <v>256</v>
      </c>
      <c r="B31" s="108"/>
      <c r="C31" s="107">
        <f t="shared" si="0"/>
        <v>12900</v>
      </c>
      <c r="F31" s="152"/>
    </row>
    <row r="32" spans="1:10" x14ac:dyDescent="0.35">
      <c r="A32" s="107" t="s">
        <v>263</v>
      </c>
      <c r="B32" s="108"/>
      <c r="C32" s="107">
        <f t="shared" si="0"/>
        <v>12900</v>
      </c>
      <c r="F32" s="152"/>
    </row>
    <row r="33" spans="1:4" x14ac:dyDescent="0.35">
      <c r="A33" s="107" t="s">
        <v>257</v>
      </c>
      <c r="B33" s="108"/>
      <c r="C33" s="107">
        <f t="shared" si="0"/>
        <v>12900</v>
      </c>
    </row>
    <row r="34" spans="1:4" x14ac:dyDescent="0.35">
      <c r="A34" s="179" t="s">
        <v>328</v>
      </c>
      <c r="B34" s="108"/>
      <c r="C34" s="107">
        <f t="shared" si="0"/>
        <v>12900</v>
      </c>
    </row>
    <row r="35" spans="1:4" x14ac:dyDescent="0.35">
      <c r="A35" s="107" t="s">
        <v>258</v>
      </c>
      <c r="B35" s="108"/>
      <c r="C35" s="107">
        <f t="shared" si="0"/>
        <v>12900</v>
      </c>
    </row>
    <row r="36" spans="1:4" x14ac:dyDescent="0.35">
      <c r="A36" s="107" t="s">
        <v>259</v>
      </c>
      <c r="B36" s="108"/>
      <c r="C36" s="107">
        <f t="shared" si="0"/>
        <v>12900</v>
      </c>
    </row>
    <row r="37" spans="1:4" x14ac:dyDescent="0.35">
      <c r="A37" s="107" t="s">
        <v>160</v>
      </c>
      <c r="B37" s="107"/>
      <c r="C37" s="107">
        <f t="shared" si="0"/>
        <v>12900</v>
      </c>
    </row>
    <row r="38" spans="1:4" x14ac:dyDescent="0.35">
      <c r="A38" s="107" t="s">
        <v>161</v>
      </c>
      <c r="B38" s="107"/>
      <c r="C38" s="107">
        <f t="shared" si="0"/>
        <v>12900</v>
      </c>
      <c r="D38" s="201" t="s">
        <v>446</v>
      </c>
    </row>
    <row r="39" spans="1:4" x14ac:dyDescent="0.35">
      <c r="A39" s="197" t="s">
        <v>437</v>
      </c>
      <c r="B39" s="107"/>
      <c r="C39" s="107">
        <f t="shared" si="0"/>
        <v>12900</v>
      </c>
    </row>
    <row r="40" spans="1:4" x14ac:dyDescent="0.35">
      <c r="A40" s="107" t="s">
        <v>278</v>
      </c>
      <c r="B40" s="107"/>
      <c r="C40" s="107">
        <f t="shared" si="0"/>
        <v>12900</v>
      </c>
    </row>
    <row r="41" spans="1:4" x14ac:dyDescent="0.35">
      <c r="A41" s="107" t="s">
        <v>162</v>
      </c>
      <c r="B41" s="107"/>
      <c r="C41" s="107">
        <f t="shared" si="0"/>
        <v>12900</v>
      </c>
    </row>
  </sheetData>
  <sheetProtection algorithmName="SHA-512" hashValue="gHf9Hg1rW/SBZQUeTcrz+NA/fkdzjo3QjBYYoj6EW6r52f2dYbjf+ElVVRqmyMw9auCpKU+R0qQe5NUwESNuhw==" saltValue="ShC9gocXVPlAqv4fOCBwOQ==" spinCount="100000" sheet="1" objects="1" scenarios="1"/>
  <phoneticPr fontId="48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B2:N21"/>
  <sheetViews>
    <sheetView zoomScale="80" zoomScaleNormal="80" workbookViewId="0"/>
  </sheetViews>
  <sheetFormatPr baseColWidth="10" defaultColWidth="11.453125" defaultRowHeight="14.5" x14ac:dyDescent="0.35"/>
  <cols>
    <col min="1" max="1" width="6" style="153" customWidth="1"/>
    <col min="2" max="2" width="48.1796875" style="153" customWidth="1"/>
    <col min="3" max="4" width="13.26953125" style="153" customWidth="1"/>
    <col min="5" max="8" width="11.453125" style="153"/>
    <col min="9" max="9" width="30.1796875" style="153" bestFit="1" customWidth="1"/>
    <col min="10" max="16384" width="11.453125" style="153"/>
  </cols>
  <sheetData>
    <row r="2" spans="2:14" ht="15" customHeight="1" x14ac:dyDescent="0.35">
      <c r="B2" s="154" t="s">
        <v>438</v>
      </c>
    </row>
    <row r="4" spans="2:14" x14ac:dyDescent="0.35">
      <c r="B4" s="224" t="s">
        <v>311</v>
      </c>
      <c r="C4" s="225"/>
      <c r="D4" s="225"/>
      <c r="E4" s="155"/>
    </row>
    <row r="5" spans="2:14" x14ac:dyDescent="0.35">
      <c r="B5" s="156"/>
      <c r="C5" s="157" t="s">
        <v>163</v>
      </c>
      <c r="D5" s="157" t="s">
        <v>164</v>
      </c>
      <c r="E5" s="155"/>
    </row>
    <row r="6" spans="2:14" x14ac:dyDescent="0.35">
      <c r="B6" s="156" t="s">
        <v>327</v>
      </c>
      <c r="C6" s="162">
        <v>281124</v>
      </c>
      <c r="D6" s="162">
        <v>142686</v>
      </c>
      <c r="E6" s="155"/>
    </row>
    <row r="7" spans="2:14" x14ac:dyDescent="0.35">
      <c r="B7" s="156" t="s">
        <v>443</v>
      </c>
      <c r="C7" s="158">
        <v>287500</v>
      </c>
      <c r="D7" s="158">
        <v>145500</v>
      </c>
      <c r="E7" s="155"/>
    </row>
    <row r="8" spans="2:14" x14ac:dyDescent="0.35">
      <c r="B8" s="155"/>
      <c r="C8" s="159"/>
      <c r="D8" s="159"/>
      <c r="E8" s="155"/>
    </row>
    <row r="9" spans="2:14" x14ac:dyDescent="0.35">
      <c r="B9" s="228" t="s">
        <v>309</v>
      </c>
      <c r="C9" s="229"/>
      <c r="D9" s="230"/>
      <c r="E9" s="155"/>
      <c r="N9" s="160"/>
    </row>
    <row r="10" spans="2:14" x14ac:dyDescent="0.35">
      <c r="B10" s="226" t="s">
        <v>122</v>
      </c>
      <c r="C10" s="227"/>
      <c r="D10" s="157" t="s">
        <v>165</v>
      </c>
      <c r="E10" s="155"/>
      <c r="N10" s="160"/>
    </row>
    <row r="11" spans="2:14" x14ac:dyDescent="0.35">
      <c r="B11" s="226" t="s">
        <v>439</v>
      </c>
      <c r="C11" s="227"/>
      <c r="D11" s="162">
        <v>12900</v>
      </c>
      <c r="E11" s="155"/>
      <c r="N11" s="160"/>
    </row>
    <row r="12" spans="2:14" x14ac:dyDescent="0.35">
      <c r="B12" s="226" t="s">
        <v>440</v>
      </c>
      <c r="C12" s="227"/>
      <c r="D12" s="158">
        <v>25900</v>
      </c>
      <c r="E12" s="155"/>
      <c r="N12" s="160"/>
    </row>
    <row r="13" spans="2:14" x14ac:dyDescent="0.35">
      <c r="B13" s="226" t="s">
        <v>441</v>
      </c>
      <c r="C13" s="227"/>
      <c r="D13" s="158">
        <v>29300</v>
      </c>
      <c r="N13" s="160"/>
    </row>
    <row r="14" spans="2:14" x14ac:dyDescent="0.35">
      <c r="B14" s="226" t="s">
        <v>442</v>
      </c>
      <c r="C14" s="227"/>
      <c r="D14" s="158">
        <v>36500</v>
      </c>
      <c r="N14" s="160"/>
    </row>
    <row r="15" spans="2:14" x14ac:dyDescent="0.35">
      <c r="B15" s="161" t="s">
        <v>310</v>
      </c>
      <c r="N15" s="160"/>
    </row>
    <row r="16" spans="2:14" x14ac:dyDescent="0.35">
      <c r="N16" s="160"/>
    </row>
    <row r="17" spans="2:14" x14ac:dyDescent="0.35">
      <c r="B17" s="228" t="s">
        <v>291</v>
      </c>
      <c r="C17" s="229"/>
      <c r="D17" s="230"/>
      <c r="I17" s="177"/>
      <c r="N17" s="160"/>
    </row>
    <row r="18" spans="2:14" x14ac:dyDescent="0.35">
      <c r="B18" s="226"/>
      <c r="C18" s="227"/>
      <c r="D18" s="157" t="s">
        <v>165</v>
      </c>
      <c r="N18" s="160"/>
    </row>
    <row r="19" spans="2:14" x14ac:dyDescent="0.35">
      <c r="B19" s="226" t="s">
        <v>292</v>
      </c>
      <c r="C19" s="227"/>
      <c r="D19" s="162">
        <v>26800</v>
      </c>
      <c r="L19" s="176"/>
      <c r="M19" s="176"/>
      <c r="N19" s="160"/>
    </row>
    <row r="20" spans="2:14" x14ac:dyDescent="0.35">
      <c r="B20" s="226" t="s">
        <v>293</v>
      </c>
      <c r="C20" s="227"/>
      <c r="D20" s="162">
        <v>39200</v>
      </c>
      <c r="L20" s="176"/>
      <c r="M20" s="176"/>
      <c r="N20" s="160"/>
    </row>
    <row r="21" spans="2:14" x14ac:dyDescent="0.35">
      <c r="J21" s="160"/>
    </row>
  </sheetData>
  <sheetProtection algorithmName="SHA-512" hashValue="/4D8+wuviu5DsxYGrX4J5MexO4+T4PP+1ZhUk5ylBg6+A7rYuDyJLgUSNO8d/Gmm/XMeZvs9cXauFpbSBcwOmA==" saltValue="MtLm9HeAOJ3GXiKhZQcNmA==" spinCount="100000" sheet="1" objects="1" scenarios="1"/>
  <mergeCells count="11">
    <mergeCell ref="B20:C20"/>
    <mergeCell ref="B19:C19"/>
    <mergeCell ref="B11:C11"/>
    <mergeCell ref="B12:C12"/>
    <mergeCell ref="B13:C13"/>
    <mergeCell ref="B14:C14"/>
    <mergeCell ref="B4:D4"/>
    <mergeCell ref="B10:C10"/>
    <mergeCell ref="B17:D17"/>
    <mergeCell ref="B9:D9"/>
    <mergeCell ref="B18:C18"/>
  </mergeCells>
  <phoneticPr fontId="53" type="noConversion"/>
  <pageMargins left="0.70866141732283472" right="0.70866141732283472" top="0.78740157480314965" bottom="0.78740157480314965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043D0477D9141B62D421E6621CA71" ma:contentTypeVersion="15" ma:contentTypeDescription="Create a new document." ma:contentTypeScope="" ma:versionID="e64d63f32c6d15f6087a5bc825834ca8">
  <xsd:schema xmlns:xsd="http://www.w3.org/2001/XMLSchema" xmlns:xs="http://www.w3.org/2001/XMLSchema" xmlns:p="http://schemas.microsoft.com/office/2006/metadata/properties" xmlns:ns3="ca2af555-cd03-43c1-b870-a6c8aa2341d9" xmlns:ns4="ac4d3598-6837-4b2f-a5b0-639cc095b310" targetNamespace="http://schemas.microsoft.com/office/2006/metadata/properties" ma:root="true" ma:fieldsID="4a220c0cb00f3ee93c3aca12d0c7a34c" ns3:_="" ns4:_="">
    <xsd:import namespace="ca2af555-cd03-43c1-b870-a6c8aa2341d9"/>
    <xsd:import namespace="ac4d3598-6837-4b2f-a5b0-639cc095b3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af555-cd03-43c1-b870-a6c8aa2341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d3598-6837-4b2f-a5b0-639cc095b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c4d3598-6837-4b2f-a5b0-639cc095b310" xsi:nil="true"/>
  </documentManagement>
</p:properties>
</file>

<file path=customXml/itemProps1.xml><?xml version="1.0" encoding="utf-8"?>
<ds:datastoreItem xmlns:ds="http://schemas.openxmlformats.org/officeDocument/2006/customXml" ds:itemID="{0151550D-CD6C-4769-B1C9-B86FD95B9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af555-cd03-43c1-b870-a6c8aa2341d9"/>
    <ds:schemaRef ds:uri="ac4d3598-6837-4b2f-a5b0-639cc095b3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2B0507-A46D-42E5-9F8D-F5DCD69F53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F59CA-391C-4CF7-B938-59F026714974}">
  <ds:schemaRefs>
    <ds:schemaRef ds:uri="http://schemas.microsoft.com/office/2006/metadata/properties"/>
    <ds:schemaRef ds:uri="http://schemas.microsoft.com/office/infopath/2007/PartnerControls"/>
    <ds:schemaRef ds:uri="ac4d3598-6837-4b2f-a5b0-639cc095b3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4</vt:i4>
      </vt:variant>
    </vt:vector>
  </HeadingPairs>
  <TitlesOfParts>
    <vt:vector size="12" baseType="lpstr">
      <vt:lpstr>Udir</vt:lpstr>
      <vt:lpstr>Forside</vt:lpstr>
      <vt:lpstr>Input, kommunale barnehager</vt:lpstr>
      <vt:lpstr>Beregning, komm.tilskudd</vt:lpstr>
      <vt:lpstr>Oversikt</vt:lpstr>
      <vt:lpstr>Pensjon</vt:lpstr>
      <vt:lpstr>Kapitaltilskudd</vt:lpstr>
      <vt:lpstr>Satser</vt:lpstr>
      <vt:lpstr>__Regnskap_hittil_i_år_amount</vt:lpstr>
      <vt:lpstr>'Beregning, komm.tilskudd'!Utskriftsområde</vt:lpstr>
      <vt:lpstr>'Input, kommunale barnehager'!Utskriftsområde</vt:lpstr>
      <vt:lpstr>Oversikt!Utskriftsområde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Engelskjønn</dc:creator>
  <cp:lastModifiedBy>Vibeke B Kværhellen</cp:lastModifiedBy>
  <cp:lastPrinted>2022-05-10T11:36:54Z</cp:lastPrinted>
  <dcterms:created xsi:type="dcterms:W3CDTF">2011-01-05T12:12:46Z</dcterms:created>
  <dcterms:modified xsi:type="dcterms:W3CDTF">2023-11-30T19:36:12Z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0x01010066B043D0477D9141B62D421E6621CA71</vt:lpwstr>
  </property>
</Properties>
</file>