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ndefjord365-my.sharepoint.com/personal/inger_marie_engelskjonn_sandefjord_kommune_no/Documents/Documents/Arbeidsmappe fra H/Kommunalt tilskudd private barnehager/"/>
    </mc:Choice>
  </mc:AlternateContent>
  <xr:revisionPtr revIDLastSave="0" documentId="8_{47B8DE3E-9E2A-421E-ABD1-1F3E58836429}" xr6:coauthVersionLast="47" xr6:coauthVersionMax="47" xr10:uidLastSave="{00000000-0000-0000-0000-000000000000}"/>
  <bookViews>
    <workbookView minimized="1" xWindow="-24015" yWindow="1305" windowWidth="21600" windowHeight="12645" tabRatio="820" firstSheet="1" activeTab="1" xr2:uid="{00000000-000D-0000-FFFF-FFFF00000000}"/>
  </bookViews>
  <sheets>
    <sheet name="Udir" sheetId="21" r:id="rId1"/>
    <sheet name="Forside" sheetId="8" r:id="rId2"/>
    <sheet name="Input, kommunale barnehager" sheetId="3" r:id="rId3"/>
    <sheet name="Oversikt" sheetId="31" state="hidden" r:id="rId4"/>
    <sheet name="Beregning, komm.tilskudd" sheetId="4" r:id="rId5"/>
    <sheet name="Pensjon" sheetId="34" r:id="rId6"/>
    <sheet name="Kapitaltilskudd" sheetId="22" state="hidden" r:id="rId7"/>
    <sheet name="Satser" sheetId="16" r:id="rId8"/>
    <sheet name="Budsjett-26" sheetId="36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_Økonomiplan_2018_21_transaksj_f0_2013" localSheetId="8">'Budsjett-26'!$M$2:$M$238</definedName>
    <definedName name="__Økonomiplan_2018_21_transaksj_f0_2013">#REF!</definedName>
    <definedName name="__Økonomiplan_2018_21_transaksj_f1_2014" localSheetId="8">'Budsjett-26'!$K$2:$K$237</definedName>
    <definedName name="__Økonomiplan_2018_21_transaksj_f1_2014">#REF!</definedName>
    <definedName name="__Økonomiplan_2018_21_transaksj_f2_2015" localSheetId="8">'Budsjett-26'!$L$2:$L$237</definedName>
    <definedName name="__Økonomiplan_2018_21_transaksj_f2_2015">#REF!</definedName>
    <definedName name="__Økonomiplan_2018_21_transaksj_f3_2016" localSheetId="8">'Budsjett-26'!#REF!</definedName>
    <definedName name="__Økonomiplan_2018_21_transaksj_f3_2016">#REF!</definedName>
    <definedName name="__Økonomiplan_2019_22_transaksj_f0_2013" localSheetId="8">'Budsjett-26'!#REF!</definedName>
    <definedName name="__Økonomiplan_2019_22_transaksj_f0_2013">#REF!</definedName>
    <definedName name="__Økonomiplan_2019_22_transaksj_f1_2014" localSheetId="8">'Budsjett-26'!$M$2:$M$189</definedName>
    <definedName name="__Økonomiplan_2019_22_transaksj_f1_2014">#REF!</definedName>
    <definedName name="__Økonomiplan_2019_22_transaksj_f2_2015" localSheetId="8">'Budsjett-26'!$K$2:$K$189</definedName>
    <definedName name="__Økonomiplan_2019_22_transaksj_f2_2015">#REF!</definedName>
    <definedName name="__Økonomiplan_2019_22_transaksj_f3_2016" localSheetId="8">'Budsjett-26'!$L$2:$L$189</definedName>
    <definedName name="__Økonomiplan_2019_22_transaksj_f3_2016">#REF!</definedName>
    <definedName name="__Økonomiplan_2020_23_transaksj.f0_2013" localSheetId="8">'Budsjett-26'!$Q$2:$Q$201</definedName>
    <definedName name="__Økonomiplan_2020_23_transaksj.f0_2013">#REF!</definedName>
    <definedName name="__Økonomiplan_2020_23_transaksj.f1_2014" localSheetId="8">'Budsjett-26'!$R$2:$R$201</definedName>
    <definedName name="__Økonomiplan_2020_23_transaksj.f1_2014">#REF!</definedName>
    <definedName name="__Økonomiplan_2020_23_transaksj.f2_2015" localSheetId="8">'Budsjett-26'!$S$2:$S$201</definedName>
    <definedName name="__Økonomiplan_2020_23_transaksj.f2_2015">#REF!</definedName>
    <definedName name="__Økonomiplan_2020_23_transaksj.f3_2016" localSheetId="8">'Budsjett-26'!$P$2:$P$201</definedName>
    <definedName name="__Økonomiplan_2020_23_transaksj.f3_2016">#REF!</definedName>
    <definedName name="__parameters_client_eq" localSheetId="8">#REF!</definedName>
    <definedName name="__parameters_client_eq">#REF!</definedName>
    <definedName name="__Regnskap_hittil_i_år_amount">'Input, kommunale barnehager'!$K$3:$K$33490</definedName>
    <definedName name="__Regnskap_hittil_i_år_f0_avvik1" localSheetId="8">'[1]__Regnskap hittil i år'!#REF!</definedName>
    <definedName name="__Regnskap_hittil_i_år_f0_avvik1">'[1]__Regnskap hittil i år'!#REF!</definedName>
    <definedName name="__Regnskap_hittil_i_år_f1_forbruk_i__9" localSheetId="8">'[1]__Regnskap hittil i år'!#REF!</definedName>
    <definedName name="__Regnskap_hittil_i_år_f1_forbruk_i__9">'[1]__Regnskap hittil i år'!#REF!</definedName>
    <definedName name="_AGA1">[2]FORUTSETNINGER!$C$30</definedName>
    <definedName name="_AGA2">[2]FORUTSETNINGER!$D$30</definedName>
    <definedName name="_AGA3">[2]FORUTSETNINGER!$E$30</definedName>
    <definedName name="_AGA4">[2]FORUTSETNINGER!$F$30</definedName>
    <definedName name="_xlnm._FilterDatabase" localSheetId="3" hidden="1">Oversikt!$A$7:$M$43</definedName>
    <definedName name="_xlnm._FilterDatabase" localSheetId="5" hidden="1">Pensjon!$A$7:$U$1123</definedName>
    <definedName name="AGA0">[2]FORUTSETNINGER!$B$30</definedName>
    <definedName name="dd" localSheetId="8">'Budsjett-26'!$M$2:$M$238</definedName>
    <definedName name="dd">#REF!</definedName>
    <definedName name="elever_pr_skole">'[3]MR Ant elever'!$C$18:$AF$21</definedName>
    <definedName name="Forvlonn0">[2]FORUTSETNINGER!$B$31</definedName>
    <definedName name="Forvlonn1">[2]FORUTSETNINGER!$C$31</definedName>
    <definedName name="Forvlonn2">[2]FORUTSETNINGER!$D$31</definedName>
    <definedName name="Forvlonn3">[2]FORUTSETNINGER!$E$31</definedName>
    <definedName name="Forvlonn4">[2]FORUTSETNINGER!$F$31</definedName>
    <definedName name="gjennomsnittslønn">[3]Tildelingsfaktorer!$C$4</definedName>
    <definedName name="Lønn_pr_skole" localSheetId="5">'[4]MR gjlønn'!#REF!</definedName>
    <definedName name="Lønn_pr_skole">'[4]MR gjlønn'!#REF!</definedName>
    <definedName name="mainContentBookmark" localSheetId="7">Satser!#REF!</definedName>
    <definedName name="Manuell_tild_element">'[3]Manuell tildeling'!$C$4:$M$4</definedName>
    <definedName name="manuell_tildel_skole">'[3]Manuell tildeling'!$C$4:$C$40</definedName>
    <definedName name="Psats0">[2]FORUTSETNINGER!$B$29</definedName>
    <definedName name="Psats1">[2]FORUTSETNINGER!$C$29</definedName>
    <definedName name="Psats2">[2]FORUTSETNINGER!$D$29</definedName>
    <definedName name="Psats3">[2]FORUTSETNINGER!$E$29</definedName>
    <definedName name="Psats4">[2]FORUTSETNINGER!$F$29</definedName>
    <definedName name="Sdo_Tittel" localSheetId="3">Oversikt!$O$4</definedName>
    <definedName name="seniortillegg">'[3]MR senioransatte'!$A$5:$AD$11</definedName>
    <definedName name="skjæringspkt_SFO">[3]Tildelingsfaktorer!$C$27</definedName>
    <definedName name="tildeling_øvrig">[3]Tildelingsfaktorer!$B$30:$AE$39</definedName>
    <definedName name="tildeling_øvrig_element">[3]Tildelingsfaktorer!$B$30:$B$39</definedName>
    <definedName name="tildeling_øvrig_skole">[3]Tildelingsfaktorer!$B$30:$AE$30</definedName>
    <definedName name="timer_pr_uke_barn">[3]Tildelingsfaktorer!$G$4</definedName>
    <definedName name="timer_pr_uke_ungdom">[3]Tildelingsfaktorer!$G$6</definedName>
    <definedName name="_xlnm.Print_Area" localSheetId="4">'Beregning, komm.tilskudd'!$A:$D</definedName>
    <definedName name="_xlnm.Print_Area" localSheetId="2">'Input, kommunale barnehager'!$A$1:$L$53</definedName>
    <definedName name="_xlnm.Print_Area" localSheetId="3">Oversikt!$A$1:$M$43</definedName>
    <definedName name="Valgt_skole_simulering">"Drop Down 2"</definedName>
    <definedName name="xx">#REF!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4" l="1"/>
  <c r="C63" i="4"/>
  <c r="L196" i="36"/>
  <c r="M196" i="36"/>
  <c r="N196" i="36"/>
  <c r="K196" i="36"/>
  <c r="K28" i="22" l="1"/>
  <c r="K29" i="22"/>
  <c r="I21" i="16"/>
  <c r="I20" i="16"/>
  <c r="I13" i="16"/>
  <c r="I14" i="16"/>
  <c r="I15" i="16"/>
  <c r="I12" i="16"/>
  <c r="K30" i="22" l="1"/>
  <c r="D56" i="31"/>
  <c r="K59" i="31"/>
  <c r="J53" i="31"/>
  <c r="K49" i="31"/>
  <c r="J187" i="36"/>
  <c r="F49" i="3" l="1"/>
  <c r="F38" i="4" l="1"/>
  <c r="E38" i="4"/>
  <c r="F30" i="4"/>
  <c r="E30" i="4"/>
  <c r="D52" i="4"/>
  <c r="D51" i="4"/>
  <c r="R621" i="34"/>
  <c r="G38" i="4" l="1"/>
  <c r="E55" i="3" l="1"/>
  <c r="L52" i="3"/>
  <c r="S636" i="34"/>
  <c r="S635" i="34"/>
  <c r="S634" i="34"/>
  <c r="S633" i="34"/>
  <c r="R637" i="34"/>
  <c r="S602" i="34"/>
  <c r="S603" i="34"/>
  <c r="S604" i="34"/>
  <c r="S601" i="34"/>
  <c r="R605" i="34"/>
  <c r="Q605" i="34"/>
  <c r="L38" i="3"/>
  <c r="E48" i="31" l="1"/>
  <c r="E52" i="31" s="1"/>
  <c r="H30" i="4"/>
  <c r="H25" i="4"/>
  <c r="I38" i="4"/>
  <c r="S18" i="34" l="1"/>
  <c r="S13" i="34"/>
  <c r="S12" i="34"/>
  <c r="S9" i="34"/>
  <c r="S8" i="34"/>
  <c r="R14" i="34"/>
  <c r="R586" i="34"/>
  <c r="R578" i="34"/>
  <c r="S582" i="34"/>
  <c r="S583" i="34"/>
  <c r="S584" i="34"/>
  <c r="S585" i="34"/>
  <c r="S581" i="34"/>
  <c r="S570" i="34"/>
  <c r="S571" i="34"/>
  <c r="S572" i="34"/>
  <c r="S573" i="34"/>
  <c r="S574" i="34"/>
  <c r="S575" i="34"/>
  <c r="S576" i="34"/>
  <c r="S577" i="34"/>
  <c r="S569" i="34"/>
  <c r="S16" i="34"/>
  <c r="E38" i="3"/>
  <c r="L46" i="3"/>
  <c r="K167" i="36"/>
  <c r="L167" i="36"/>
  <c r="M167" i="36"/>
  <c r="I169" i="36"/>
  <c r="J181" i="36"/>
  <c r="L173" i="36" l="1"/>
  <c r="M173" i="36" s="1"/>
  <c r="N173" i="36" s="1"/>
  <c r="D51" i="3" l="1"/>
  <c r="L21" i="3"/>
  <c r="M8" i="3"/>
  <c r="M9" i="3"/>
  <c r="M10" i="3"/>
  <c r="M11" i="3"/>
  <c r="M12" i="3"/>
  <c r="M13" i="3"/>
  <c r="M45" i="3"/>
  <c r="M46" i="3"/>
  <c r="M47" i="3"/>
  <c r="M48" i="3"/>
  <c r="M49" i="3"/>
  <c r="M50" i="3"/>
  <c r="M52" i="3"/>
  <c r="M36" i="3"/>
  <c r="M37" i="3"/>
  <c r="M38" i="3"/>
  <c r="M39" i="3"/>
  <c r="M40" i="3"/>
  <c r="M41" i="3"/>
  <c r="M42" i="3"/>
  <c r="M43" i="3"/>
  <c r="M44" i="3"/>
  <c r="M17" i="3"/>
  <c r="M16" i="3"/>
  <c r="M7" i="3"/>
  <c r="H37" i="4"/>
  <c r="H36" i="4"/>
  <c r="H38" i="4"/>
  <c r="F40" i="4"/>
  <c r="E40" i="4"/>
  <c r="I37" i="4"/>
  <c r="I36" i="4"/>
  <c r="G52" i="3" l="1"/>
  <c r="R10" i="34"/>
  <c r="S831" i="34"/>
  <c r="S830" i="34"/>
  <c r="S829" i="34"/>
  <c r="S828" i="34"/>
  <c r="S827" i="34"/>
  <c r="S826" i="34"/>
  <c r="S825" i="34"/>
  <c r="S824" i="34"/>
  <c r="S823" i="34"/>
  <c r="S822" i="34"/>
  <c r="S821" i="34"/>
  <c r="S820" i="34"/>
  <c r="S819" i="34"/>
  <c r="S818" i="34"/>
  <c r="S817" i="34"/>
  <c r="S816" i="34"/>
  <c r="S815" i="34"/>
  <c r="S814" i="34"/>
  <c r="S813" i="34"/>
  <c r="S812" i="34"/>
  <c r="S811" i="34"/>
  <c r="S810" i="34"/>
  <c r="S809" i="34"/>
  <c r="S808" i="34"/>
  <c r="S807" i="34"/>
  <c r="S806" i="34"/>
  <c r="S805" i="34"/>
  <c r="S804" i="34"/>
  <c r="S803" i="34"/>
  <c r="S802" i="34"/>
  <c r="S801" i="34"/>
  <c r="S800" i="34"/>
  <c r="S799" i="34"/>
  <c r="S798" i="34"/>
  <c r="S797" i="34"/>
  <c r="S796" i="34"/>
  <c r="S795" i="34"/>
  <c r="S794" i="34"/>
  <c r="S793" i="34"/>
  <c r="S792" i="34"/>
  <c r="S791" i="34"/>
  <c r="S790" i="34"/>
  <c r="S789" i="34"/>
  <c r="S788" i="34"/>
  <c r="S787" i="34"/>
  <c r="S786" i="34"/>
  <c r="S785" i="34"/>
  <c r="S784" i="34"/>
  <c r="S783" i="34"/>
  <c r="S782" i="34"/>
  <c r="S781" i="34"/>
  <c r="S780" i="34"/>
  <c r="S779" i="34"/>
  <c r="S778" i="34"/>
  <c r="S777" i="34"/>
  <c r="S776" i="34"/>
  <c r="S775" i="34"/>
  <c r="S774" i="34"/>
  <c r="S773" i="34"/>
  <c r="S772" i="34"/>
  <c r="S771" i="34"/>
  <c r="S770" i="34"/>
  <c r="S769" i="34"/>
  <c r="S768" i="34"/>
  <c r="S767" i="34"/>
  <c r="S766" i="34"/>
  <c r="S765" i="34"/>
  <c r="S764" i="34"/>
  <c r="S763" i="34"/>
  <c r="S762" i="34"/>
  <c r="S761" i="34"/>
  <c r="S760" i="34"/>
  <c r="S759" i="34"/>
  <c r="S758" i="34"/>
  <c r="S757" i="34"/>
  <c r="S756" i="34"/>
  <c r="S755" i="34"/>
  <c r="S754" i="34"/>
  <c r="S753" i="34"/>
  <c r="S752" i="34"/>
  <c r="S751" i="34"/>
  <c r="S750" i="34"/>
  <c r="S749" i="34"/>
  <c r="S748" i="34"/>
  <c r="S747" i="34"/>
  <c r="S746" i="34"/>
  <c r="S745" i="34"/>
  <c r="S744" i="34"/>
  <c r="S743" i="34"/>
  <c r="S742" i="34"/>
  <c r="S741" i="34"/>
  <c r="S740" i="34"/>
  <c r="S739" i="34"/>
  <c r="S738" i="34"/>
  <c r="S737" i="34"/>
  <c r="S736" i="34"/>
  <c r="S735" i="34"/>
  <c r="S734" i="34"/>
  <c r="S733" i="34"/>
  <c r="S732" i="34"/>
  <c r="S731" i="34"/>
  <c r="S730" i="34"/>
  <c r="S729" i="34"/>
  <c r="S728" i="34"/>
  <c r="S727" i="34"/>
  <c r="S726" i="34"/>
  <c r="S725" i="34"/>
  <c r="S724" i="34"/>
  <c r="S723" i="34"/>
  <c r="S722" i="34"/>
  <c r="S721" i="34"/>
  <c r="S720" i="34"/>
  <c r="S719" i="34"/>
  <c r="S718" i="34"/>
  <c r="S717" i="34"/>
  <c r="S716" i="34"/>
  <c r="S715" i="34"/>
  <c r="S714" i="34"/>
  <c r="S713" i="34"/>
  <c r="S712" i="34"/>
  <c r="S711" i="34"/>
  <c r="S710" i="34"/>
  <c r="S709" i="34"/>
  <c r="S708" i="34"/>
  <c r="S707" i="34"/>
  <c r="S706" i="34"/>
  <c r="S705" i="34"/>
  <c r="S704" i="34"/>
  <c r="S703" i="34"/>
  <c r="S702" i="34"/>
  <c r="S701" i="34"/>
  <c r="S700" i="34"/>
  <c r="S699" i="34"/>
  <c r="S698" i="34"/>
  <c r="S697" i="34"/>
  <c r="S696" i="34"/>
  <c r="S695" i="34"/>
  <c r="S694" i="34"/>
  <c r="S693" i="34"/>
  <c r="S692" i="34"/>
  <c r="S691" i="34"/>
  <c r="S690" i="34"/>
  <c r="S689" i="34"/>
  <c r="S688" i="34"/>
  <c r="S687" i="34"/>
  <c r="S686" i="34"/>
  <c r="S685" i="34"/>
  <c r="S684" i="34"/>
  <c r="S683" i="34"/>
  <c r="S682" i="34"/>
  <c r="S681" i="34"/>
  <c r="S680" i="34"/>
  <c r="S679" i="34"/>
  <c r="S678" i="34"/>
  <c r="S677" i="34"/>
  <c r="S676" i="34"/>
  <c r="S675" i="34"/>
  <c r="S674" i="34"/>
  <c r="S673" i="34"/>
  <c r="S672" i="34"/>
  <c r="S671" i="34"/>
  <c r="S670" i="34"/>
  <c r="S667" i="34"/>
  <c r="S666" i="34"/>
  <c r="S665" i="34"/>
  <c r="S664" i="34"/>
  <c r="S661" i="34"/>
  <c r="S660" i="34"/>
  <c r="S659" i="34"/>
  <c r="S656" i="34"/>
  <c r="S655" i="34"/>
  <c r="S654" i="34"/>
  <c r="S651" i="34"/>
  <c r="S650" i="34"/>
  <c r="S649" i="34"/>
  <c r="S646" i="34"/>
  <c r="S645" i="34"/>
  <c r="S644" i="34"/>
  <c r="S643" i="34"/>
  <c r="S642" i="34"/>
  <c r="S641" i="34"/>
  <c r="S639" i="34"/>
  <c r="S630" i="34"/>
  <c r="S629" i="34"/>
  <c r="S628" i="34"/>
  <c r="S620" i="34"/>
  <c r="S619" i="34"/>
  <c r="S618" i="34"/>
  <c r="S617" i="34"/>
  <c r="S616" i="34"/>
  <c r="S615" i="34"/>
  <c r="S614" i="34"/>
  <c r="S613" i="34"/>
  <c r="S612" i="34"/>
  <c r="S611" i="34"/>
  <c r="S610" i="34"/>
  <c r="S609" i="34"/>
  <c r="S608" i="34"/>
  <c r="S607" i="34"/>
  <c r="S598" i="34"/>
  <c r="S597" i="34"/>
  <c r="S596" i="34"/>
  <c r="S595" i="34"/>
  <c r="S594" i="34"/>
  <c r="S593" i="34"/>
  <c r="S592" i="34"/>
  <c r="S591" i="34"/>
  <c r="S590" i="34"/>
  <c r="S589" i="34"/>
  <c r="S588" i="34"/>
  <c r="S561" i="34"/>
  <c r="S560" i="34"/>
  <c r="S559" i="34"/>
  <c r="S558" i="34"/>
  <c r="S557" i="34"/>
  <c r="S556" i="34"/>
  <c r="S555" i="34"/>
  <c r="S554" i="34"/>
  <c r="S553" i="34"/>
  <c r="S552" i="34"/>
  <c r="S551" i="34"/>
  <c r="S550" i="34"/>
  <c r="S549" i="34"/>
  <c r="S548" i="34"/>
  <c r="S547" i="34"/>
  <c r="S546" i="34"/>
  <c r="S545" i="34"/>
  <c r="S544" i="34"/>
  <c r="S543" i="34"/>
  <c r="S538" i="34"/>
  <c r="S537" i="34"/>
  <c r="S536" i="34"/>
  <c r="S535" i="34"/>
  <c r="S534" i="34"/>
  <c r="S533" i="34"/>
  <c r="S532" i="34"/>
  <c r="S531" i="34"/>
  <c r="S530" i="34"/>
  <c r="S529" i="34"/>
  <c r="S528" i="34"/>
  <c r="S527" i="34"/>
  <c r="S526" i="34"/>
  <c r="S525" i="34"/>
  <c r="S513" i="34"/>
  <c r="S512" i="34"/>
  <c r="S511" i="34"/>
  <c r="S510" i="34"/>
  <c r="S509" i="34"/>
  <c r="S508" i="34"/>
  <c r="S507" i="34"/>
  <c r="S506" i="34"/>
  <c r="S505" i="34"/>
  <c r="S504" i="34"/>
  <c r="S503" i="34"/>
  <c r="S502" i="34"/>
  <c r="S501" i="34"/>
  <c r="S500" i="34"/>
  <c r="S499" i="34"/>
  <c r="S498" i="34"/>
  <c r="S497" i="34"/>
  <c r="S496" i="34"/>
  <c r="S495" i="34"/>
  <c r="S494" i="34"/>
  <c r="S493" i="34"/>
  <c r="S492" i="34"/>
  <c r="S491" i="34"/>
  <c r="S490" i="34"/>
  <c r="S486" i="34"/>
  <c r="S485" i="34"/>
  <c r="S484" i="34"/>
  <c r="S483" i="34"/>
  <c r="S482" i="34"/>
  <c r="S481" i="34"/>
  <c r="S480" i="34"/>
  <c r="S479" i="34"/>
  <c r="S478" i="34"/>
  <c r="S477" i="34"/>
  <c r="S476" i="34"/>
  <c r="S475" i="34"/>
  <c r="S474" i="34"/>
  <c r="S473" i="34"/>
  <c r="S467" i="34"/>
  <c r="S466" i="34"/>
  <c r="S465" i="34"/>
  <c r="S464" i="34"/>
  <c r="S463" i="34"/>
  <c r="S462" i="34"/>
  <c r="S461" i="34"/>
  <c r="S460" i="34"/>
  <c r="S459" i="34"/>
  <c r="S458" i="34"/>
  <c r="S457" i="34"/>
  <c r="S456" i="34"/>
  <c r="S455" i="34"/>
  <c r="S454" i="34"/>
  <c r="S453" i="34"/>
  <c r="S452" i="34"/>
  <c r="S451" i="34"/>
  <c r="S440" i="34"/>
  <c r="S439" i="34"/>
  <c r="S438" i="34"/>
  <c r="S437" i="34"/>
  <c r="S436" i="34"/>
  <c r="S435" i="34"/>
  <c r="S434" i="34"/>
  <c r="S433" i="34"/>
  <c r="S432" i="34"/>
  <c r="S431" i="34"/>
  <c r="S430" i="34"/>
  <c r="S429" i="34"/>
  <c r="S428" i="34"/>
  <c r="S427" i="34"/>
  <c r="S426" i="34"/>
  <c r="S425" i="34"/>
  <c r="S424" i="34"/>
  <c r="S423" i="34"/>
  <c r="S419" i="34"/>
  <c r="S418" i="34"/>
  <c r="S417" i="34"/>
  <c r="S416" i="34"/>
  <c r="S415" i="34"/>
  <c r="S414" i="34"/>
  <c r="S413" i="34"/>
  <c r="S412" i="34"/>
  <c r="S411" i="34"/>
  <c r="S410" i="34"/>
  <c r="S409" i="34"/>
  <c r="S408" i="34"/>
  <c r="S407" i="34"/>
  <c r="S406" i="34"/>
  <c r="S400" i="34"/>
  <c r="S399" i="34"/>
  <c r="S398" i="34"/>
  <c r="S397" i="34"/>
  <c r="S396" i="34"/>
  <c r="S395" i="34"/>
  <c r="S394" i="34"/>
  <c r="S393" i="34"/>
  <c r="S392" i="34"/>
  <c r="S391" i="34"/>
  <c r="S390" i="34"/>
  <c r="S389" i="34"/>
  <c r="S388" i="34"/>
  <c r="S387" i="34"/>
  <c r="S386" i="34"/>
  <c r="S385" i="34"/>
  <c r="S384" i="34"/>
  <c r="S383" i="34"/>
  <c r="S377" i="34"/>
  <c r="S376" i="34"/>
  <c r="S375" i="34"/>
  <c r="S374" i="34"/>
  <c r="S373" i="34"/>
  <c r="S372" i="34"/>
  <c r="S371" i="34"/>
  <c r="S370" i="34"/>
  <c r="S369" i="34"/>
  <c r="S368" i="34"/>
  <c r="S367" i="34"/>
  <c r="S366" i="34"/>
  <c r="S365" i="34"/>
  <c r="S364" i="34"/>
  <c r="S363" i="34"/>
  <c r="S362" i="34"/>
  <c r="S358" i="34"/>
  <c r="S357" i="34"/>
  <c r="S356" i="34"/>
  <c r="S355" i="34"/>
  <c r="S354" i="34"/>
  <c r="S353" i="34"/>
  <c r="S352" i="34"/>
  <c r="S351" i="34"/>
  <c r="S350" i="34"/>
  <c r="S349" i="34"/>
  <c r="S348" i="34"/>
  <c r="S347" i="34"/>
  <c r="S346" i="34"/>
  <c r="S345" i="34"/>
  <c r="S344" i="34"/>
  <c r="S343" i="34"/>
  <c r="S335" i="34"/>
  <c r="S334" i="34"/>
  <c r="S333" i="34"/>
  <c r="S332" i="34"/>
  <c r="S331" i="34"/>
  <c r="S330" i="34"/>
  <c r="S329" i="34"/>
  <c r="S328" i="34"/>
  <c r="S327" i="34"/>
  <c r="S326" i="34"/>
  <c r="S325" i="34"/>
  <c r="S324" i="34"/>
  <c r="S323" i="34"/>
  <c r="S322" i="34"/>
  <c r="S321" i="34"/>
  <c r="S320" i="34"/>
  <c r="S319" i="34"/>
  <c r="S307" i="34"/>
  <c r="S306" i="34"/>
  <c r="S305" i="34"/>
  <c r="S304" i="34"/>
  <c r="S303" i="34"/>
  <c r="S302" i="34"/>
  <c r="S301" i="34"/>
  <c r="S300" i="34"/>
  <c r="S299" i="34"/>
  <c r="S298" i="34"/>
  <c r="S297" i="34"/>
  <c r="S296" i="34"/>
  <c r="S295" i="34"/>
  <c r="S294" i="34"/>
  <c r="S293" i="34"/>
  <c r="S292" i="34"/>
  <c r="S291" i="34"/>
  <c r="S290" i="34"/>
  <c r="S289" i="34"/>
  <c r="S288" i="34"/>
  <c r="S287" i="34"/>
  <c r="S286" i="34"/>
  <c r="S285" i="34"/>
  <c r="S278" i="34"/>
  <c r="S277" i="34"/>
  <c r="S276" i="34"/>
  <c r="S275" i="34"/>
  <c r="S274" i="34"/>
  <c r="S273" i="34"/>
  <c r="S272" i="34"/>
  <c r="S271" i="34"/>
  <c r="S270" i="34"/>
  <c r="S269" i="34"/>
  <c r="S268" i="34"/>
  <c r="S267" i="34"/>
  <c r="S266" i="34"/>
  <c r="S265" i="34"/>
  <c r="S264" i="34"/>
  <c r="S263" i="34"/>
  <c r="S262" i="34"/>
  <c r="S249" i="34"/>
  <c r="S248" i="34"/>
  <c r="S247" i="34"/>
  <c r="S246" i="34"/>
  <c r="S245" i="34"/>
  <c r="S244" i="34"/>
  <c r="S243" i="34"/>
  <c r="S242" i="34"/>
  <c r="S241" i="34"/>
  <c r="S240" i="34"/>
  <c r="S239" i="34"/>
  <c r="S238" i="34"/>
  <c r="S237" i="34"/>
  <c r="S236" i="34"/>
  <c r="S235" i="34"/>
  <c r="S234" i="34"/>
  <c r="S233" i="34"/>
  <c r="S232" i="34"/>
  <c r="S231" i="34"/>
  <c r="S230" i="34"/>
  <c r="S229" i="34"/>
  <c r="S228" i="34"/>
  <c r="S227" i="34"/>
  <c r="S226" i="34"/>
  <c r="S220" i="34"/>
  <c r="S219" i="34"/>
  <c r="S218" i="34"/>
  <c r="S217" i="34"/>
  <c r="S216" i="34"/>
  <c r="S215" i="34"/>
  <c r="S214" i="34"/>
  <c r="S213" i="34"/>
  <c r="S212" i="34"/>
  <c r="S211" i="34"/>
  <c r="S210" i="34"/>
  <c r="S209" i="34"/>
  <c r="S208" i="34"/>
  <c r="S207" i="34"/>
  <c r="S206" i="34"/>
  <c r="S205" i="34"/>
  <c r="S204" i="34"/>
  <c r="S194" i="34"/>
  <c r="S193" i="34"/>
  <c r="S192" i="34"/>
  <c r="S191" i="34"/>
  <c r="S190" i="34"/>
  <c r="S189" i="34"/>
  <c r="S188" i="34"/>
  <c r="S187" i="34"/>
  <c r="S186" i="34"/>
  <c r="S185" i="34"/>
  <c r="S184" i="34"/>
  <c r="S183" i="34"/>
  <c r="S182" i="34"/>
  <c r="S181" i="34"/>
  <c r="S180" i="34"/>
  <c r="S179" i="34"/>
  <c r="S178" i="34"/>
  <c r="S177" i="34"/>
  <c r="S176" i="34"/>
  <c r="S175" i="34"/>
  <c r="S174" i="34"/>
  <c r="S173" i="34"/>
  <c r="S172" i="34"/>
  <c r="S171" i="34"/>
  <c r="S170" i="34"/>
  <c r="S164" i="34"/>
  <c r="S163" i="34"/>
  <c r="S162" i="34"/>
  <c r="S161" i="34"/>
  <c r="S160" i="34"/>
  <c r="S159" i="34"/>
  <c r="S158" i="34"/>
  <c r="S157" i="34"/>
  <c r="S156" i="34"/>
  <c r="S155" i="34"/>
  <c r="S154" i="34"/>
  <c r="S153" i="34"/>
  <c r="S152" i="34"/>
  <c r="S151" i="34"/>
  <c r="S150" i="34"/>
  <c r="S149" i="34"/>
  <c r="S148" i="34"/>
  <c r="S147" i="34"/>
  <c r="S141" i="34"/>
  <c r="S140" i="34"/>
  <c r="S139" i="34"/>
  <c r="S138" i="34"/>
  <c r="S137" i="34"/>
  <c r="S136" i="34"/>
  <c r="S135" i="34"/>
  <c r="S134" i="34"/>
  <c r="S133" i="34"/>
  <c r="S132" i="34"/>
  <c r="S131" i="34"/>
  <c r="S130" i="34"/>
  <c r="S129" i="34"/>
  <c r="S128" i="34"/>
  <c r="S127" i="34"/>
  <c r="S126" i="34"/>
  <c r="S114" i="34"/>
  <c r="S113" i="34"/>
  <c r="S112" i="34"/>
  <c r="S111" i="34"/>
  <c r="S110" i="34"/>
  <c r="S109" i="34"/>
  <c r="S108" i="34"/>
  <c r="S107" i="34"/>
  <c r="S106" i="34"/>
  <c r="S105" i="34"/>
  <c r="S104" i="34"/>
  <c r="S103" i="34"/>
  <c r="S102" i="34"/>
  <c r="S101" i="34"/>
  <c r="S100" i="34"/>
  <c r="S99" i="34"/>
  <c r="S98" i="34"/>
  <c r="S97" i="34"/>
  <c r="S96" i="34"/>
  <c r="S95" i="34"/>
  <c r="S82" i="34"/>
  <c r="S81" i="34"/>
  <c r="S80" i="34"/>
  <c r="S79" i="34"/>
  <c r="S78" i="34"/>
  <c r="S77" i="34"/>
  <c r="S76" i="34"/>
  <c r="S75" i="34"/>
  <c r="S74" i="34"/>
  <c r="S73" i="34"/>
  <c r="S72" i="34"/>
  <c r="S71" i="34"/>
  <c r="S70" i="34"/>
  <c r="S69" i="34"/>
  <c r="S68" i="34"/>
  <c r="S67" i="34"/>
  <c r="S66" i="34"/>
  <c r="S65" i="34"/>
  <c r="S64" i="34"/>
  <c r="S63" i="34"/>
  <c r="S62" i="34"/>
  <c r="S61" i="34"/>
  <c r="S60" i="34"/>
  <c r="S59" i="34"/>
  <c r="S52" i="34"/>
  <c r="S51" i="34"/>
  <c r="S50" i="34"/>
  <c r="S49" i="34"/>
  <c r="S48" i="34"/>
  <c r="S47" i="34"/>
  <c r="S46" i="34"/>
  <c r="S45" i="34"/>
  <c r="S44" i="34"/>
  <c r="S43" i="34"/>
  <c r="S42" i="34"/>
  <c r="S41" i="34"/>
  <c r="S40" i="34"/>
  <c r="S39" i="34"/>
  <c r="S38" i="34"/>
  <c r="S37" i="34"/>
  <c r="S36" i="34"/>
  <c r="S35" i="34"/>
  <c r="S34" i="34"/>
  <c r="S28" i="34"/>
  <c r="S27" i="34"/>
  <c r="S26" i="34"/>
  <c r="S25" i="34"/>
  <c r="R859" i="34"/>
  <c r="R858" i="34"/>
  <c r="R857" i="34"/>
  <c r="R856" i="34"/>
  <c r="R855" i="34"/>
  <c r="R854" i="34"/>
  <c r="R853" i="34"/>
  <c r="R852" i="34"/>
  <c r="R851" i="34"/>
  <c r="R850" i="34"/>
  <c r="R849" i="34"/>
  <c r="R848" i="34"/>
  <c r="R847" i="34"/>
  <c r="R846" i="34"/>
  <c r="R845" i="34"/>
  <c r="R844" i="34"/>
  <c r="R843" i="34"/>
  <c r="R842" i="34"/>
  <c r="R841" i="34"/>
  <c r="R840" i="34"/>
  <c r="R839" i="34"/>
  <c r="R838" i="34"/>
  <c r="R837" i="34"/>
  <c r="R836" i="34"/>
  <c r="R835" i="34"/>
  <c r="R834" i="34"/>
  <c r="R833" i="34"/>
  <c r="R832" i="34"/>
  <c r="R668" i="34"/>
  <c r="R662" i="34"/>
  <c r="R657" i="34"/>
  <c r="R652" i="34"/>
  <c r="R647" i="34"/>
  <c r="R631" i="34"/>
  <c r="R599" i="34"/>
  <c r="R564" i="34"/>
  <c r="R563" i="34"/>
  <c r="R562" i="34"/>
  <c r="R539" i="34"/>
  <c r="R518" i="34"/>
  <c r="R517" i="34"/>
  <c r="R516" i="34"/>
  <c r="R515" i="34"/>
  <c r="R514" i="34"/>
  <c r="R487" i="34"/>
  <c r="R469" i="34"/>
  <c r="R468" i="34"/>
  <c r="R444" i="34"/>
  <c r="R443" i="34"/>
  <c r="R442" i="34"/>
  <c r="R441" i="34"/>
  <c r="R420" i="34"/>
  <c r="R402" i="34"/>
  <c r="R401" i="34"/>
  <c r="R379" i="34"/>
  <c r="R378" i="34"/>
  <c r="R359" i="34"/>
  <c r="R338" i="34"/>
  <c r="R337" i="34"/>
  <c r="R336" i="34"/>
  <c r="R312" i="34"/>
  <c r="R311" i="34"/>
  <c r="R310" i="34"/>
  <c r="R309" i="34"/>
  <c r="R308" i="34"/>
  <c r="R280" i="34"/>
  <c r="R279" i="34"/>
  <c r="R254" i="34"/>
  <c r="R253" i="34"/>
  <c r="R252" i="34"/>
  <c r="R251" i="34"/>
  <c r="R250" i="34"/>
  <c r="R222" i="34"/>
  <c r="R221" i="34"/>
  <c r="R198" i="34"/>
  <c r="R197" i="34"/>
  <c r="R196" i="34"/>
  <c r="R195" i="34"/>
  <c r="R166" i="34"/>
  <c r="R165" i="34"/>
  <c r="R143" i="34"/>
  <c r="R142" i="34"/>
  <c r="R118" i="34"/>
  <c r="R117" i="34"/>
  <c r="R116" i="34"/>
  <c r="R115" i="34"/>
  <c r="R87" i="34"/>
  <c r="R86" i="34"/>
  <c r="R85" i="34"/>
  <c r="R84" i="34"/>
  <c r="R83" i="34"/>
  <c r="R55" i="34"/>
  <c r="R54" i="34"/>
  <c r="R53" i="34"/>
  <c r="R30" i="34"/>
  <c r="R29" i="34"/>
  <c r="R23" i="34"/>
  <c r="R21" i="34"/>
  <c r="Q9" i="34"/>
  <c r="Q10" i="34"/>
  <c r="Q11" i="34"/>
  <c r="Q12" i="34"/>
  <c r="Q13" i="34"/>
  <c r="Q14" i="34"/>
  <c r="Q15" i="34"/>
  <c r="Q16" i="34"/>
  <c r="Q17" i="34"/>
  <c r="Q18" i="34"/>
  <c r="Q19" i="34"/>
  <c r="Q20" i="34"/>
  <c r="Q21" i="34"/>
  <c r="Q22" i="34"/>
  <c r="Q23" i="34"/>
  <c r="Q24" i="34"/>
  <c r="Q25" i="34"/>
  <c r="Q26" i="34"/>
  <c r="Q27" i="34"/>
  <c r="Q28" i="34"/>
  <c r="Q29" i="34"/>
  <c r="Q30" i="34"/>
  <c r="Q31" i="34"/>
  <c r="Q32" i="34"/>
  <c r="Q33" i="34"/>
  <c r="Q34" i="34"/>
  <c r="Q35" i="34"/>
  <c r="Q36" i="34"/>
  <c r="Q37" i="34"/>
  <c r="Q38" i="34"/>
  <c r="Q39" i="34"/>
  <c r="Q40" i="34"/>
  <c r="Q41" i="34"/>
  <c r="Q42" i="34"/>
  <c r="Q43" i="34"/>
  <c r="Q44" i="34"/>
  <c r="Q45" i="34"/>
  <c r="Q46" i="34"/>
  <c r="Q47" i="34"/>
  <c r="Q48" i="34"/>
  <c r="Q49" i="34"/>
  <c r="Q50" i="34"/>
  <c r="Q51" i="34"/>
  <c r="Q52" i="34"/>
  <c r="Q53" i="34"/>
  <c r="Q54" i="34"/>
  <c r="Q55" i="34"/>
  <c r="Q56" i="34"/>
  <c r="Q57" i="34"/>
  <c r="Q58" i="34"/>
  <c r="Q59" i="34"/>
  <c r="Q60" i="34"/>
  <c r="Q61" i="34"/>
  <c r="Q62" i="34"/>
  <c r="Q63" i="34"/>
  <c r="Q64" i="34"/>
  <c r="Q65" i="34"/>
  <c r="Q66" i="34"/>
  <c r="Q67" i="34"/>
  <c r="Q68" i="34"/>
  <c r="Q69" i="34"/>
  <c r="Q70" i="34"/>
  <c r="Q71" i="34"/>
  <c r="Q72" i="34"/>
  <c r="Q73" i="34"/>
  <c r="Q74" i="34"/>
  <c r="Q75" i="34"/>
  <c r="Q76" i="34"/>
  <c r="Q77" i="34"/>
  <c r="Q78" i="34"/>
  <c r="Q79" i="34"/>
  <c r="Q80" i="34"/>
  <c r="Q81" i="34"/>
  <c r="Q82" i="34"/>
  <c r="Q83" i="34"/>
  <c r="Q84" i="34"/>
  <c r="Q85" i="34"/>
  <c r="Q86" i="34"/>
  <c r="Q87" i="34"/>
  <c r="Q88" i="34"/>
  <c r="Q89" i="34"/>
  <c r="Q90" i="34"/>
  <c r="Q91" i="34"/>
  <c r="Q92" i="34"/>
  <c r="Q93" i="34"/>
  <c r="Q94" i="34"/>
  <c r="Q887" i="34"/>
  <c r="Q886" i="34"/>
  <c r="Q885" i="34"/>
  <c r="Q884" i="34"/>
  <c r="Q883" i="34"/>
  <c r="Q882" i="34"/>
  <c r="Q881" i="34"/>
  <c r="Q880" i="34"/>
  <c r="Q879" i="34"/>
  <c r="Q878" i="34"/>
  <c r="Q877" i="34"/>
  <c r="Q876" i="34"/>
  <c r="Q875" i="34"/>
  <c r="Q874" i="34"/>
  <c r="Q873" i="34"/>
  <c r="Q872" i="34"/>
  <c r="Q871" i="34"/>
  <c r="Q870" i="34"/>
  <c r="Q869" i="34"/>
  <c r="Q868" i="34"/>
  <c r="Q867" i="34"/>
  <c r="Q866" i="34"/>
  <c r="Q865" i="34"/>
  <c r="Q864" i="34"/>
  <c r="Q863" i="34"/>
  <c r="Q862" i="34"/>
  <c r="Q861" i="34"/>
  <c r="Q860" i="34"/>
  <c r="Q859" i="34"/>
  <c r="Q858" i="34"/>
  <c r="Q857" i="34"/>
  <c r="Q856" i="34"/>
  <c r="Q855" i="34"/>
  <c r="Q854" i="34"/>
  <c r="Q853" i="34"/>
  <c r="Q852" i="34"/>
  <c r="Q851" i="34"/>
  <c r="Q850" i="34"/>
  <c r="Q849" i="34"/>
  <c r="Q848" i="34"/>
  <c r="Q847" i="34"/>
  <c r="Q846" i="34"/>
  <c r="Q845" i="34"/>
  <c r="Q844" i="34"/>
  <c r="Q843" i="34"/>
  <c r="Q842" i="34"/>
  <c r="Q841" i="34"/>
  <c r="Q840" i="34"/>
  <c r="Q839" i="34"/>
  <c r="Q838" i="34"/>
  <c r="Q837" i="34"/>
  <c r="Q836" i="34"/>
  <c r="Q835" i="34"/>
  <c r="Q834" i="34"/>
  <c r="Q833" i="34"/>
  <c r="Q832" i="34"/>
  <c r="Q669" i="34"/>
  <c r="Q668" i="34"/>
  <c r="Q663" i="34"/>
  <c r="Q662" i="34"/>
  <c r="Q658" i="34"/>
  <c r="Q657" i="34"/>
  <c r="Q653" i="34"/>
  <c r="Q652" i="34"/>
  <c r="Q648" i="34"/>
  <c r="Q647" i="34"/>
  <c r="Q640" i="34"/>
  <c r="Q638" i="34"/>
  <c r="Q637" i="34"/>
  <c r="Q632" i="34"/>
  <c r="Q631" i="34"/>
  <c r="Q627" i="34"/>
  <c r="Q626" i="34"/>
  <c r="Q625" i="34"/>
  <c r="Q624" i="34"/>
  <c r="Q623" i="34"/>
  <c r="Q622" i="34"/>
  <c r="Q621" i="34"/>
  <c r="Q606" i="34"/>
  <c r="Q600" i="34"/>
  <c r="Q599" i="34"/>
  <c r="Q587" i="34"/>
  <c r="Q586" i="34"/>
  <c r="Q580" i="34"/>
  <c r="Q579" i="34"/>
  <c r="Q578" i="34"/>
  <c r="Q568" i="34"/>
  <c r="Q567" i="34"/>
  <c r="Q566" i="34"/>
  <c r="Q565" i="34"/>
  <c r="Q564" i="34"/>
  <c r="Q563" i="34"/>
  <c r="Q562" i="34"/>
  <c r="Q542" i="34"/>
  <c r="Q541" i="34"/>
  <c r="Q540" i="34"/>
  <c r="Q539" i="34"/>
  <c r="Q524" i="34"/>
  <c r="Q523" i="34"/>
  <c r="Q522" i="34"/>
  <c r="Q521" i="34"/>
  <c r="Q520" i="34"/>
  <c r="Q519" i="34"/>
  <c r="Q518" i="34"/>
  <c r="Q517" i="34"/>
  <c r="Q516" i="34"/>
  <c r="Q515" i="34"/>
  <c r="Q514" i="34"/>
  <c r="Q489" i="34"/>
  <c r="Q488" i="34"/>
  <c r="Q487" i="34"/>
  <c r="Q472" i="34"/>
  <c r="Q471" i="34"/>
  <c r="Q470" i="34"/>
  <c r="Q469" i="34"/>
  <c r="Q468" i="34"/>
  <c r="Q450" i="34"/>
  <c r="Q449" i="34"/>
  <c r="Q448" i="34"/>
  <c r="Q447" i="34"/>
  <c r="Q446" i="34"/>
  <c r="Q445" i="34"/>
  <c r="Q444" i="34"/>
  <c r="Q443" i="34"/>
  <c r="Q442" i="34"/>
  <c r="Q441" i="34"/>
  <c r="Q422" i="34"/>
  <c r="Q421" i="34"/>
  <c r="Q420" i="34"/>
  <c r="Q405" i="34"/>
  <c r="Q404" i="34"/>
  <c r="Q403" i="34"/>
  <c r="Q402" i="34"/>
  <c r="Q401" i="34"/>
  <c r="Q382" i="34"/>
  <c r="Q381" i="34"/>
  <c r="Q380" i="34"/>
  <c r="Q379" i="34"/>
  <c r="Q378" i="34"/>
  <c r="Q361" i="34"/>
  <c r="Q360" i="34"/>
  <c r="Q359" i="34"/>
  <c r="Q342" i="34"/>
  <c r="Q341" i="34"/>
  <c r="Q340" i="34"/>
  <c r="Q339" i="34"/>
  <c r="Q338" i="34"/>
  <c r="Q337" i="34"/>
  <c r="Q336" i="34"/>
  <c r="Q318" i="34"/>
  <c r="Q317" i="34"/>
  <c r="Q316" i="34"/>
  <c r="Q315" i="34"/>
  <c r="Q314" i="34"/>
  <c r="Q313" i="34"/>
  <c r="Q312" i="34"/>
  <c r="Q311" i="34"/>
  <c r="Q310" i="34"/>
  <c r="Q309" i="34"/>
  <c r="Q308" i="34"/>
  <c r="Q284" i="34"/>
  <c r="Q283" i="34"/>
  <c r="Q282" i="34"/>
  <c r="Q281" i="34"/>
  <c r="Q280" i="34"/>
  <c r="Q279" i="34"/>
  <c r="Q261" i="34"/>
  <c r="Q260" i="34"/>
  <c r="Q259" i="34"/>
  <c r="Q258" i="34"/>
  <c r="Q257" i="34"/>
  <c r="Q256" i="34"/>
  <c r="Q255" i="34"/>
  <c r="Q254" i="34"/>
  <c r="Q253" i="34"/>
  <c r="Q252" i="34"/>
  <c r="Q251" i="34"/>
  <c r="Q250" i="34"/>
  <c r="Q225" i="34"/>
  <c r="Q224" i="34"/>
  <c r="Q223" i="34"/>
  <c r="Q222" i="34"/>
  <c r="Q221" i="34"/>
  <c r="Q203" i="34"/>
  <c r="Q202" i="34"/>
  <c r="Q201" i="34"/>
  <c r="Q200" i="34"/>
  <c r="Q199" i="34"/>
  <c r="Q198" i="34"/>
  <c r="Q197" i="34"/>
  <c r="Q196" i="34"/>
  <c r="Q195" i="34"/>
  <c r="Q169" i="34"/>
  <c r="Q168" i="34"/>
  <c r="Q167" i="34"/>
  <c r="Q166" i="34"/>
  <c r="Q165" i="34"/>
  <c r="Q146" i="34"/>
  <c r="Q145" i="34"/>
  <c r="Q144" i="34"/>
  <c r="Q143" i="34"/>
  <c r="Q142" i="34"/>
  <c r="Q125" i="34"/>
  <c r="Q124" i="34"/>
  <c r="Q123" i="34"/>
  <c r="Q122" i="34"/>
  <c r="Q121" i="34"/>
  <c r="Q120" i="34"/>
  <c r="Q119" i="34"/>
  <c r="Q118" i="34"/>
  <c r="Q117" i="34"/>
  <c r="Q116" i="34"/>
  <c r="Q115" i="34"/>
  <c r="N6" i="34"/>
  <c r="O6" i="34"/>
  <c r="P6" i="34"/>
  <c r="T6" i="34"/>
  <c r="M6" i="34"/>
  <c r="R1" i="34" l="1"/>
  <c r="J52" i="3"/>
  <c r="M51" i="3" l="1"/>
  <c r="G51" i="3"/>
  <c r="J51" i="3" l="1"/>
  <c r="G8" i="3" l="1"/>
  <c r="J8" i="3" s="1"/>
  <c r="G9" i="3"/>
  <c r="J9" i="3" s="1"/>
  <c r="G10" i="3"/>
  <c r="J10" i="3" s="1"/>
  <c r="G11" i="3"/>
  <c r="J11" i="3" s="1"/>
  <c r="G12" i="3"/>
  <c r="J12" i="3" s="1"/>
  <c r="K26" i="22" l="1"/>
  <c r="K25" i="22"/>
  <c r="D43" i="31"/>
  <c r="K27" i="22" l="1"/>
  <c r="K31" i="22" s="1"/>
  <c r="D46" i="31"/>
  <c r="D48" i="31" s="1"/>
  <c r="D52" i="31" s="1"/>
  <c r="Q2" i="34" l="1"/>
  <c r="K162" i="36" l="1"/>
  <c r="L162" i="36"/>
  <c r="M162" i="36"/>
  <c r="J162" i="36"/>
  <c r="J167" i="36" l="1"/>
  <c r="K165" i="36"/>
  <c r="L165" i="36"/>
  <c r="M165" i="36"/>
  <c r="J165" i="36"/>
  <c r="K158" i="36"/>
  <c r="L158" i="36"/>
  <c r="M158" i="36"/>
  <c r="K161" i="36"/>
  <c r="L161" i="36"/>
  <c r="M161" i="36"/>
  <c r="K163" i="36"/>
  <c r="L163" i="36"/>
  <c r="M163" i="36"/>
  <c r="K164" i="36"/>
  <c r="L164" i="36"/>
  <c r="M164" i="36"/>
  <c r="J164" i="36"/>
  <c r="J163" i="36"/>
  <c r="J161" i="36"/>
  <c r="J156" i="36" l="1"/>
  <c r="J158" i="36" l="1"/>
  <c r="M154" i="36"/>
  <c r="L154" i="36"/>
  <c r="K154" i="36"/>
  <c r="J154" i="36"/>
  <c r="D53" i="3" l="1"/>
  <c r="G76" i="4" l="1"/>
  <c r="Q3" i="34"/>
  <c r="G7" i="3"/>
  <c r="G13" i="3"/>
  <c r="J13" i="3" s="1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J39" i="3" s="1"/>
  <c r="G40" i="3"/>
  <c r="G41" i="3"/>
  <c r="G42" i="3"/>
  <c r="G43" i="3"/>
  <c r="G44" i="3"/>
  <c r="G45" i="3"/>
  <c r="G46" i="3"/>
  <c r="G47" i="3"/>
  <c r="G48" i="3"/>
  <c r="G49" i="3"/>
  <c r="G50" i="3"/>
  <c r="C16" i="36"/>
  <c r="C19" i="36" s="1"/>
  <c r="D16" i="36"/>
  <c r="E16" i="36"/>
  <c r="F16" i="36"/>
  <c r="G16" i="36"/>
  <c r="G19" i="36"/>
  <c r="D20" i="36"/>
  <c r="E20" i="36"/>
  <c r="F20" i="36"/>
  <c r="G20" i="36" s="1"/>
  <c r="D21" i="36"/>
  <c r="E21" i="36"/>
  <c r="F21" i="36"/>
  <c r="G21" i="36" s="1"/>
  <c r="D22" i="36"/>
  <c r="E22" i="36"/>
  <c r="F22" i="36"/>
  <c r="G22" i="36" s="1"/>
  <c r="D23" i="36"/>
  <c r="E23" i="36"/>
  <c r="E30" i="36" s="1"/>
  <c r="F23" i="36"/>
  <c r="F30" i="36" s="1"/>
  <c r="D24" i="36"/>
  <c r="E24" i="36"/>
  <c r="F24" i="36"/>
  <c r="G24" i="36" s="1"/>
  <c r="H35" i="36"/>
  <c r="H39" i="36" s="1"/>
  <c r="H44" i="36" s="1"/>
  <c r="H46" i="36" s="1"/>
  <c r="E39" i="36"/>
  <c r="E44" i="36" s="1"/>
  <c r="E46" i="36" s="1"/>
  <c r="F39" i="36"/>
  <c r="F44" i="36" s="1"/>
  <c r="F46" i="36" s="1"/>
  <c r="F54" i="36" s="1"/>
  <c r="F58" i="36" s="1"/>
  <c r="G39" i="36"/>
  <c r="G44" i="36" s="1"/>
  <c r="G46" i="36" s="1"/>
  <c r="G47" i="36"/>
  <c r="H47" i="36" s="1"/>
  <c r="I47" i="36" s="1"/>
  <c r="G48" i="36"/>
  <c r="H48" i="36" s="1"/>
  <c r="I48" i="36" s="1"/>
  <c r="G49" i="36"/>
  <c r="H49" i="36" s="1"/>
  <c r="I49" i="36" s="1"/>
  <c r="G50" i="36"/>
  <c r="H50" i="36" s="1"/>
  <c r="I50" i="36" s="1"/>
  <c r="G51" i="36"/>
  <c r="H51" i="36" s="1"/>
  <c r="I51" i="36" s="1"/>
  <c r="G52" i="36"/>
  <c r="H52" i="36" s="1"/>
  <c r="I52" i="36" s="1"/>
  <c r="G53" i="36"/>
  <c r="H53" i="36" s="1"/>
  <c r="I53" i="36" s="1"/>
  <c r="F59" i="36"/>
  <c r="G59" i="36"/>
  <c r="H59" i="36" s="1"/>
  <c r="I59" i="36" s="1"/>
  <c r="J59" i="36" s="1"/>
  <c r="H60" i="36"/>
  <c r="I60" i="36" s="1"/>
  <c r="J60" i="36" s="1"/>
  <c r="H61" i="36"/>
  <c r="I61" i="36" s="1"/>
  <c r="J61" i="36" s="1"/>
  <c r="H64" i="36"/>
  <c r="I64" i="36" s="1"/>
  <c r="J64" i="36" s="1"/>
  <c r="H65" i="36"/>
  <c r="I65" i="36" s="1"/>
  <c r="J65" i="36" s="1"/>
  <c r="H66" i="36"/>
  <c r="I66" i="36" s="1"/>
  <c r="J66" i="36" s="1"/>
  <c r="H67" i="36"/>
  <c r="I67" i="36" s="1"/>
  <c r="J67" i="36" s="1"/>
  <c r="H68" i="36"/>
  <c r="I68" i="36" s="1"/>
  <c r="J68" i="36" s="1"/>
  <c r="H71" i="36"/>
  <c r="I71" i="36" s="1"/>
  <c r="J71" i="36" s="1"/>
  <c r="H72" i="36"/>
  <c r="I72" i="36" s="1"/>
  <c r="J72" i="36" s="1"/>
  <c r="H73" i="36"/>
  <c r="I73" i="36" s="1"/>
  <c r="J73" i="36" s="1"/>
  <c r="H74" i="36"/>
  <c r="I74" i="36" s="1"/>
  <c r="J74" i="36" s="1"/>
  <c r="H75" i="36"/>
  <c r="I75" i="36" s="1"/>
  <c r="J75" i="36" s="1"/>
  <c r="I76" i="36"/>
  <c r="J76" i="36" s="1"/>
  <c r="H77" i="36"/>
  <c r="I77" i="36" s="1"/>
  <c r="J77" i="36" s="1"/>
  <c r="H78" i="36"/>
  <c r="I78" i="36" s="1"/>
  <c r="J78" i="36" s="1"/>
  <c r="H79" i="36"/>
  <c r="I79" i="36" s="1"/>
  <c r="J79" i="36" s="1"/>
  <c r="I80" i="36"/>
  <c r="J80" i="36" s="1"/>
  <c r="I104" i="36"/>
  <c r="J104" i="36" s="1"/>
  <c r="K104" i="36" s="1"/>
  <c r="I107" i="36"/>
  <c r="J107" i="36"/>
  <c r="K107" i="36"/>
  <c r="I121" i="36"/>
  <c r="J121" i="36"/>
  <c r="K121" i="36"/>
  <c r="L121" i="36"/>
  <c r="J126" i="36"/>
  <c r="K126" i="36" s="1"/>
  <c r="L126" i="36" s="1"/>
  <c r="I131" i="36"/>
  <c r="J131" i="36"/>
  <c r="K131" i="36"/>
  <c r="L131" i="36"/>
  <c r="J132" i="36"/>
  <c r="K132" i="36" s="1"/>
  <c r="J140" i="36"/>
  <c r="K140" i="36" s="1"/>
  <c r="L140" i="36" s="1"/>
  <c r="M140" i="36" s="1"/>
  <c r="J141" i="36"/>
  <c r="K141" i="36" s="1"/>
  <c r="L141" i="36" s="1"/>
  <c r="M141" i="36" s="1"/>
  <c r="J142" i="36"/>
  <c r="L142" i="36"/>
  <c r="M142" i="36" s="1"/>
  <c r="J143" i="36"/>
  <c r="L145" i="36"/>
  <c r="M145" i="36" s="1"/>
  <c r="K149" i="36"/>
  <c r="L149" i="36" s="1"/>
  <c r="M149" i="36" s="1"/>
  <c r="S6" i="34" l="1"/>
  <c r="E53" i="3"/>
  <c r="G23" i="36"/>
  <c r="G30" i="36" s="1"/>
  <c r="I135" i="36"/>
  <c r="I138" i="36" s="1"/>
  <c r="E25" i="36"/>
  <c r="E31" i="36" s="1"/>
  <c r="D25" i="36"/>
  <c r="D31" i="36" s="1"/>
  <c r="D34" i="36" s="1"/>
  <c r="G54" i="36"/>
  <c r="G58" i="36" s="1"/>
  <c r="G69" i="36" s="1"/>
  <c r="G81" i="36" s="1"/>
  <c r="G85" i="36" s="1"/>
  <c r="G109" i="36" s="1"/>
  <c r="J146" i="36"/>
  <c r="K146" i="36" s="1"/>
  <c r="L146" i="36" s="1"/>
  <c r="M146" i="36" s="1"/>
  <c r="I46" i="36"/>
  <c r="I54" i="36" s="1"/>
  <c r="I58" i="36" s="1"/>
  <c r="H54" i="36"/>
  <c r="H58" i="36" s="1"/>
  <c r="H69" i="36" s="1"/>
  <c r="H81" i="36" s="1"/>
  <c r="H85" i="36" s="1"/>
  <c r="H87" i="36" s="1"/>
  <c r="H98" i="36" s="1"/>
  <c r="H109" i="36" s="1"/>
  <c r="H113" i="36" s="1"/>
  <c r="L132" i="36"/>
  <c r="L135" i="36" s="1"/>
  <c r="K135" i="36"/>
  <c r="F25" i="36"/>
  <c r="F31" i="36" s="1"/>
  <c r="J135" i="36"/>
  <c r="G25" i="36" l="1"/>
  <c r="G31" i="36" s="1"/>
  <c r="G83" i="36"/>
  <c r="G84" i="36" s="1"/>
  <c r="I69" i="36"/>
  <c r="I81" i="36" s="1"/>
  <c r="I85" i="36" s="1"/>
  <c r="J58" i="36"/>
  <c r="J69" i="36" s="1"/>
  <c r="J81" i="36" s="1"/>
  <c r="H19" i="31"/>
  <c r="K138" i="36" l="1"/>
  <c r="M138" i="36"/>
  <c r="J138" i="36"/>
  <c r="L138" i="36"/>
  <c r="I147" i="36"/>
  <c r="I151" i="36" s="1"/>
  <c r="I87" i="36"/>
  <c r="I98" i="36" s="1"/>
  <c r="I109" i="36" s="1"/>
  <c r="J85" i="36"/>
  <c r="M147" i="36" l="1"/>
  <c r="J147" i="36"/>
  <c r="J87" i="36"/>
  <c r="J98" i="36" s="1"/>
  <c r="J109" i="36" s="1"/>
  <c r="K85" i="36"/>
  <c r="K87" i="36" s="1"/>
  <c r="K98" i="36" s="1"/>
  <c r="K109" i="36" s="1"/>
  <c r="J157" i="36" l="1"/>
  <c r="J160" i="36" s="1"/>
  <c r="M157" i="36"/>
  <c r="M160" i="36" s="1"/>
  <c r="M169" i="36" s="1"/>
  <c r="K147" i="36"/>
  <c r="K157" i="36" s="1"/>
  <c r="J169" i="36" l="1"/>
  <c r="K160" i="36"/>
  <c r="K169" i="36" s="1"/>
  <c r="L147" i="36"/>
  <c r="L157" i="36" s="1"/>
  <c r="L160" i="36" l="1"/>
  <c r="L169" i="36" s="1"/>
  <c r="M20" i="3"/>
  <c r="J171" i="36" l="1"/>
  <c r="R6" i="34"/>
  <c r="J179" i="36" l="1"/>
  <c r="J186" i="36" s="1"/>
  <c r="J188" i="36" s="1"/>
  <c r="K171" i="36"/>
  <c r="M23" i="3"/>
  <c r="K179" i="36" l="1"/>
  <c r="K186" i="36" s="1"/>
  <c r="K199" i="36" s="1"/>
  <c r="L171" i="36"/>
  <c r="L179" i="36" s="1"/>
  <c r="L186" i="36" s="1"/>
  <c r="L199" i="36" s="1"/>
  <c r="J7" i="3"/>
  <c r="M171" i="36" l="1"/>
  <c r="M179" i="36" s="1"/>
  <c r="M186" i="36" s="1"/>
  <c r="M199" i="36" s="1"/>
  <c r="C10" i="21"/>
  <c r="N171" i="36" l="1"/>
  <c r="F11" i="21"/>
  <c r="C11" i="21"/>
  <c r="F12" i="21" l="1"/>
  <c r="F13" i="21" s="1"/>
  <c r="N179" i="36"/>
  <c r="M32" i="3"/>
  <c r="N186" i="36" l="1"/>
  <c r="N199" i="36" s="1"/>
  <c r="Q8" i="34"/>
  <c r="Q6" i="34" l="1"/>
  <c r="J46" i="3"/>
  <c r="J32" i="3"/>
  <c r="G48" i="8" l="1"/>
  <c r="E11" i="21" l="1"/>
  <c r="M18" i="3" l="1"/>
  <c r="C8" i="22" l="1"/>
  <c r="J14" i="31" s="1"/>
  <c r="C33" i="22"/>
  <c r="J31" i="31" s="1"/>
  <c r="C21" i="22" l="1"/>
  <c r="J22" i="31" s="1"/>
  <c r="C10" i="22"/>
  <c r="J10" i="31" s="1"/>
  <c r="C29" i="22"/>
  <c r="J29" i="31" s="1"/>
  <c r="C25" i="22"/>
  <c r="J8" i="31" s="1"/>
  <c r="C12" i="22"/>
  <c r="J17" i="31" s="1"/>
  <c r="C4" i="22"/>
  <c r="J13" i="31" s="1"/>
  <c r="C19" i="22"/>
  <c r="J21" i="31" s="1"/>
  <c r="C35" i="22"/>
  <c r="J33" i="31" s="1"/>
  <c r="C14" i="22"/>
  <c r="J12" i="31" s="1"/>
  <c r="C30" i="22"/>
  <c r="C11" i="22"/>
  <c r="J16" i="31" s="1"/>
  <c r="C20" i="22"/>
  <c r="J34" i="31" s="1"/>
  <c r="C37" i="22"/>
  <c r="J38" i="31" s="1"/>
  <c r="C27" i="22"/>
  <c r="C17" i="22"/>
  <c r="J20" i="31" s="1"/>
  <c r="C6" i="22"/>
  <c r="J26" i="31" s="1"/>
  <c r="C36" i="22"/>
  <c r="J41" i="31" s="1"/>
  <c r="C26" i="22"/>
  <c r="J27" i="31" s="1"/>
  <c r="C5" i="22"/>
  <c r="J11" i="31" s="1"/>
  <c r="C34" i="22"/>
  <c r="J32" i="31" s="1"/>
  <c r="C22" i="22"/>
  <c r="J23" i="31" s="1"/>
  <c r="C13" i="22"/>
  <c r="J18" i="31" s="1"/>
  <c r="C38" i="22"/>
  <c r="C28" i="22"/>
  <c r="J28" i="31" s="1"/>
  <c r="C18" i="22"/>
  <c r="J36" i="31" s="1"/>
  <c r="C7" i="22"/>
  <c r="J35" i="31" s="1"/>
  <c r="C40" i="22"/>
  <c r="J40" i="31" s="1"/>
  <c r="C32" i="22"/>
  <c r="J30" i="31" s="1"/>
  <c r="C24" i="22"/>
  <c r="J25" i="31" s="1"/>
  <c r="C16" i="22"/>
  <c r="J9" i="31" s="1"/>
  <c r="C9" i="22"/>
  <c r="J15" i="31" s="1"/>
  <c r="C39" i="22"/>
  <c r="J39" i="31" s="1"/>
  <c r="C31" i="22"/>
  <c r="J37" i="31" s="1"/>
  <c r="C23" i="22"/>
  <c r="J24" i="31" s="1"/>
  <c r="C15" i="22"/>
  <c r="G37" i="4" l="1"/>
  <c r="G36" i="4"/>
  <c r="K53" i="3"/>
  <c r="J49" i="3"/>
  <c r="G40" i="4" l="1"/>
  <c r="F43" i="31"/>
  <c r="F7" i="21" l="1"/>
  <c r="M14" i="3" l="1"/>
  <c r="M19" i="3"/>
  <c r="M22" i="3"/>
  <c r="M24" i="3"/>
  <c r="M25" i="3"/>
  <c r="M26" i="3"/>
  <c r="M27" i="3"/>
  <c r="M28" i="3"/>
  <c r="M29" i="3"/>
  <c r="M30" i="3"/>
  <c r="M31" i="3"/>
  <c r="M33" i="3"/>
  <c r="M34" i="3"/>
  <c r="J43" i="3" l="1"/>
  <c r="J50" i="3"/>
  <c r="G53" i="3"/>
  <c r="G30" i="4" l="1"/>
  <c r="G29" i="4"/>
  <c r="G28" i="4"/>
  <c r="G27" i="4"/>
  <c r="G26" i="4"/>
  <c r="G25" i="4"/>
  <c r="J14" i="3" l="1"/>
  <c r="J18" i="3"/>
  <c r="J19" i="3"/>
  <c r="J20" i="3"/>
  <c r="J22" i="3"/>
  <c r="J23" i="3"/>
  <c r="J24" i="3"/>
  <c r="J25" i="3"/>
  <c r="J26" i="3"/>
  <c r="J27" i="3"/>
  <c r="J28" i="3"/>
  <c r="J29" i="3"/>
  <c r="J30" i="3"/>
  <c r="J31" i="3"/>
  <c r="J33" i="3"/>
  <c r="J34" i="3"/>
  <c r="J35" i="3"/>
  <c r="J36" i="3"/>
  <c r="J37" i="3"/>
  <c r="J40" i="3"/>
  <c r="J41" i="3"/>
  <c r="J42" i="3"/>
  <c r="J44" i="3"/>
  <c r="J48" i="3"/>
  <c r="H26" i="4"/>
  <c r="H27" i="4"/>
  <c r="H28" i="4"/>
  <c r="H29" i="4"/>
  <c r="I25" i="4"/>
  <c r="I26" i="4"/>
  <c r="I27" i="4"/>
  <c r="I28" i="4"/>
  <c r="I29" i="4"/>
  <c r="I30" i="4"/>
  <c r="F44" i="4"/>
  <c r="F45" i="4"/>
  <c r="G45" i="4" s="1"/>
  <c r="F46" i="4"/>
  <c r="H46" i="4" s="1"/>
  <c r="F47" i="4"/>
  <c r="F48" i="4"/>
  <c r="H48" i="4" s="1"/>
  <c r="F49" i="4"/>
  <c r="H49" i="4" s="1"/>
  <c r="B18" i="4"/>
  <c r="B59" i="4" s="1"/>
  <c r="B19" i="4"/>
  <c r="B60" i="4" s="1"/>
  <c r="F39" i="4"/>
  <c r="E39" i="4"/>
  <c r="F32" i="4"/>
  <c r="E32" i="4"/>
  <c r="D32" i="4"/>
  <c r="C32" i="4"/>
  <c r="B32" i="4"/>
  <c r="F31" i="4"/>
  <c r="E31" i="4"/>
  <c r="D31" i="4"/>
  <c r="C31" i="4"/>
  <c r="B31" i="4"/>
  <c r="H43" i="8"/>
  <c r="C29" i="8"/>
  <c r="H38" i="8"/>
  <c r="H44" i="8" s="1"/>
  <c r="H31" i="4" l="1"/>
  <c r="G46" i="4"/>
  <c r="G44" i="4"/>
  <c r="G47" i="4"/>
  <c r="C59" i="4"/>
  <c r="C60" i="4" s="1"/>
  <c r="I38" i="8" s="1"/>
  <c r="G43" i="8"/>
  <c r="G49" i="4"/>
  <c r="C12" i="21"/>
  <c r="C16" i="21" s="1"/>
  <c r="G32" i="4"/>
  <c r="G39" i="4"/>
  <c r="I44" i="8"/>
  <c r="G44" i="8"/>
  <c r="G38" i="8" s="1"/>
  <c r="G48" i="4"/>
  <c r="I39" i="4"/>
  <c r="H39" i="4"/>
  <c r="I31" i="4"/>
  <c r="G31" i="4"/>
  <c r="I43" i="8"/>
  <c r="J31" i="4" l="1"/>
  <c r="J39" i="4"/>
  <c r="I37" i="8"/>
  <c r="B35" i="4"/>
  <c r="C35" i="4" s="1"/>
  <c r="D30" i="21" s="1"/>
  <c r="B34" i="4"/>
  <c r="G50" i="4"/>
  <c r="H50" i="4"/>
  <c r="G37" i="8"/>
  <c r="J41" i="4" l="1"/>
  <c r="K41" i="4" s="1"/>
  <c r="F14" i="21"/>
  <c r="C30" i="21"/>
  <c r="I50" i="4"/>
  <c r="B16" i="4" s="1"/>
  <c r="D35" i="4"/>
  <c r="C34" i="4"/>
  <c r="B36" i="4"/>
  <c r="D34" i="4"/>
  <c r="C29" i="21"/>
  <c r="C31" i="21" l="1"/>
  <c r="D36" i="4"/>
  <c r="D29" i="21"/>
  <c r="F9" i="21" s="1"/>
  <c r="C36" i="4"/>
  <c r="F17" i="21" l="1"/>
  <c r="F20" i="21" s="1"/>
  <c r="F16" i="21"/>
  <c r="F19" i="21" s="1"/>
  <c r="B44" i="4"/>
  <c r="B43" i="4"/>
  <c r="C39" i="21" s="1"/>
  <c r="D31" i="21"/>
  <c r="C40" i="21" l="1"/>
  <c r="C41" i="21" l="1"/>
  <c r="Q4" i="34" l="1"/>
  <c r="R4" i="34" s="1"/>
  <c r="I53" i="3" l="1"/>
  <c r="F53" i="3" l="1"/>
  <c r="J38" i="3" l="1"/>
  <c r="M35" i="3" l="1"/>
  <c r="L53" i="3"/>
  <c r="J17" i="3" l="1"/>
  <c r="C53" i="3"/>
  <c r="J45" i="3" l="1"/>
  <c r="J16" i="3" l="1"/>
  <c r="H53" i="3"/>
  <c r="C6" i="21" l="1"/>
  <c r="F8" i="21" s="1"/>
  <c r="I153" i="36" l="1"/>
  <c r="J42" i="31" l="1"/>
  <c r="J43" i="31" s="1"/>
  <c r="E43" i="31"/>
  <c r="E56" i="31" s="1"/>
  <c r="J47" i="3" l="1"/>
  <c r="J15" i="3" l="1"/>
  <c r="M15" i="3"/>
  <c r="J21" i="3"/>
  <c r="B53" i="3"/>
  <c r="M21" i="3"/>
  <c r="C5" i="21" l="1"/>
  <c r="C7" i="21" s="1"/>
  <c r="J53" i="3"/>
  <c r="J55" i="3" s="1"/>
  <c r="C15" i="21" l="1"/>
  <c r="C17" i="21" s="1"/>
  <c r="C18" i="21" s="1"/>
  <c r="B15" i="4"/>
  <c r="B39" i="4" s="1"/>
  <c r="C21" i="21" l="1"/>
  <c r="C22" i="21" s="1"/>
  <c r="C34" i="21"/>
  <c r="C44" i="21" s="1"/>
  <c r="C49" i="21" s="1"/>
  <c r="B55" i="4"/>
  <c r="C55" i="4" s="1"/>
  <c r="B47" i="4"/>
  <c r="B40" i="4"/>
  <c r="B56" i="4" l="1"/>
  <c r="C56" i="4" s="1"/>
  <c r="B48" i="4"/>
  <c r="B52" i="4" s="1"/>
  <c r="C52" i="4" s="1"/>
  <c r="C23" i="21"/>
  <c r="C24" i="21" s="1"/>
  <c r="C25" i="21" s="1"/>
  <c r="B51" i="4"/>
  <c r="C51" i="4" s="1"/>
  <c r="F37" i="8" s="1"/>
  <c r="J37" i="8" s="1"/>
  <c r="L37" i="8" s="1"/>
  <c r="C35" i="21"/>
  <c r="C45" i="21" s="1"/>
  <c r="C50" i="21" s="1"/>
  <c r="F38" i="8" l="1"/>
  <c r="J38" i="8" s="1"/>
  <c r="L38" i="8" s="1"/>
  <c r="B63" i="4"/>
  <c r="D63" i="4" s="1"/>
  <c r="F43" i="8"/>
  <c r="J43" i="8" s="1"/>
  <c r="L43" i="8" s="1"/>
  <c r="C36" i="21"/>
  <c r="C46" i="21" s="1"/>
  <c r="B64" i="4"/>
  <c r="D64" i="4" s="1"/>
  <c r="F44" i="8" l="1"/>
  <c r="H7" i="31" s="1"/>
  <c r="E53" i="31" s="1"/>
  <c r="G7" i="31"/>
  <c r="H28" i="31" l="1"/>
  <c r="J44" i="8"/>
  <c r="L44" i="8" s="1"/>
  <c r="H12" i="31"/>
  <c r="H9" i="31"/>
  <c r="H11" i="31"/>
  <c r="H20" i="31"/>
  <c r="H17" i="31"/>
  <c r="H26" i="31"/>
  <c r="H32" i="31"/>
  <c r="H22" i="31"/>
  <c r="H23" i="31"/>
  <c r="H14" i="31"/>
  <c r="H13" i="31"/>
  <c r="H31" i="31"/>
  <c r="H41" i="31"/>
  <c r="H21" i="31"/>
  <c r="H34" i="31"/>
  <c r="H39" i="31"/>
  <c r="H35" i="31"/>
  <c r="H38" i="31"/>
  <c r="H33" i="31"/>
  <c r="H18" i="31"/>
  <c r="H16" i="31"/>
  <c r="H25" i="31"/>
  <c r="H27" i="31"/>
  <c r="H36" i="31"/>
  <c r="H8" i="31"/>
  <c r="H15" i="31"/>
  <c r="H29" i="31"/>
  <c r="H24" i="31"/>
  <c r="H37" i="31"/>
  <c r="H10" i="31"/>
  <c r="H40" i="31"/>
  <c r="H30" i="31"/>
  <c r="D6" i="16"/>
  <c r="D8" i="16" s="1"/>
  <c r="H42" i="31"/>
  <c r="G42" i="31"/>
  <c r="D53" i="31"/>
  <c r="F53" i="31" s="1"/>
  <c r="G28" i="31"/>
  <c r="G21" i="31"/>
  <c r="C6" i="16"/>
  <c r="C8" i="16" s="1"/>
  <c r="G24" i="31"/>
  <c r="G32" i="31"/>
  <c r="G35" i="31"/>
  <c r="G25" i="31"/>
  <c r="G39" i="31"/>
  <c r="G13" i="31"/>
  <c r="G26" i="31"/>
  <c r="G9" i="31"/>
  <c r="G18" i="31"/>
  <c r="G34" i="31"/>
  <c r="G12" i="31"/>
  <c r="G27" i="31"/>
  <c r="G19" i="31"/>
  <c r="I19" i="31" s="1"/>
  <c r="K19" i="31" s="1"/>
  <c r="G17" i="31"/>
  <c r="G41" i="31"/>
  <c r="G20" i="31"/>
  <c r="G29" i="31"/>
  <c r="G37" i="31"/>
  <c r="G40" i="31"/>
  <c r="G36" i="31"/>
  <c r="G14" i="31"/>
  <c r="G38" i="31"/>
  <c r="G11" i="31"/>
  <c r="G31" i="31"/>
  <c r="G15" i="31"/>
  <c r="G16" i="31"/>
  <c r="G23" i="31"/>
  <c r="G10" i="31"/>
  <c r="G33" i="31"/>
  <c r="G30" i="31"/>
  <c r="G22" i="31"/>
  <c r="G8" i="31"/>
  <c r="I42" i="31" l="1"/>
  <c r="K42" i="31" s="1"/>
  <c r="L42" i="31" s="1"/>
  <c r="M42" i="31" s="1"/>
  <c r="I37" i="31"/>
  <c r="K37" i="31" s="1"/>
  <c r="L37" i="31" s="1"/>
  <c r="M37" i="31" s="1"/>
  <c r="I17" i="31"/>
  <c r="K17" i="31" s="1"/>
  <c r="L17" i="31" s="1"/>
  <c r="M17" i="31" s="1"/>
  <c r="I18" i="31"/>
  <c r="K18" i="31" s="1"/>
  <c r="L18" i="31" s="1"/>
  <c r="M18" i="31" s="1"/>
  <c r="I38" i="31"/>
  <c r="K38" i="31" s="1"/>
  <c r="L38" i="31" s="1"/>
  <c r="M38" i="31" s="1"/>
  <c r="I12" i="31"/>
  <c r="K12" i="31" s="1"/>
  <c r="L12" i="31" s="1"/>
  <c r="M12" i="31" s="1"/>
  <c r="I28" i="31"/>
  <c r="K28" i="31" s="1"/>
  <c r="L28" i="31" s="1"/>
  <c r="M28" i="31" s="1"/>
  <c r="I9" i="31"/>
  <c r="K9" i="31" s="1"/>
  <c r="L9" i="31" s="1"/>
  <c r="M9" i="31" s="1"/>
  <c r="I20" i="31"/>
  <c r="K20" i="31" s="1"/>
  <c r="L20" i="31" s="1"/>
  <c r="M20" i="31" s="1"/>
  <c r="I11" i="31"/>
  <c r="K11" i="31" s="1"/>
  <c r="L11" i="31" s="1"/>
  <c r="M11" i="31" s="1"/>
  <c r="I32" i="31"/>
  <c r="K32" i="31" s="1"/>
  <c r="L32" i="31" s="1"/>
  <c r="M32" i="31" s="1"/>
  <c r="I22" i="31"/>
  <c r="K22" i="31" s="1"/>
  <c r="L22" i="31" s="1"/>
  <c r="M22" i="31" s="1"/>
  <c r="I29" i="31"/>
  <c r="K29" i="31" s="1"/>
  <c r="L29" i="31" s="1"/>
  <c r="M29" i="31" s="1"/>
  <c r="I23" i="31"/>
  <c r="K23" i="31" s="1"/>
  <c r="L23" i="31" s="1"/>
  <c r="M23" i="31" s="1"/>
  <c r="I16" i="31"/>
  <c r="K16" i="31" s="1"/>
  <c r="L16" i="31" s="1"/>
  <c r="M16" i="31" s="1"/>
  <c r="I13" i="31"/>
  <c r="K13" i="31" s="1"/>
  <c r="L13" i="31" s="1"/>
  <c r="M13" i="31" s="1"/>
  <c r="I10" i="31"/>
  <c r="K10" i="31" s="1"/>
  <c r="L10" i="31" s="1"/>
  <c r="M10" i="31" s="1"/>
  <c r="I39" i="31"/>
  <c r="K39" i="31" s="1"/>
  <c r="L39" i="31" s="1"/>
  <c r="M39" i="31" s="1"/>
  <c r="H43" i="31"/>
  <c r="I41" i="31"/>
  <c r="K41" i="31" s="1"/>
  <c r="L41" i="31" s="1"/>
  <c r="M41" i="31" s="1"/>
  <c r="I21" i="31"/>
  <c r="K21" i="31" s="1"/>
  <c r="L21" i="31" s="1"/>
  <c r="M21" i="31" s="1"/>
  <c r="I15" i="31"/>
  <c r="K15" i="31" s="1"/>
  <c r="L15" i="31" s="1"/>
  <c r="M15" i="31" s="1"/>
  <c r="I31" i="31"/>
  <c r="K31" i="31" s="1"/>
  <c r="L31" i="31" s="1"/>
  <c r="M31" i="31" s="1"/>
  <c r="I34" i="31"/>
  <c r="K34" i="31" s="1"/>
  <c r="L34" i="31" s="1"/>
  <c r="M34" i="31" s="1"/>
  <c r="I14" i="31"/>
  <c r="K14" i="31" s="1"/>
  <c r="L14" i="31" s="1"/>
  <c r="M14" i="31" s="1"/>
  <c r="I26" i="31"/>
  <c r="K26" i="31" s="1"/>
  <c r="L26" i="31" s="1"/>
  <c r="M26" i="31" s="1"/>
  <c r="I25" i="31"/>
  <c r="K25" i="31" s="1"/>
  <c r="L25" i="31" s="1"/>
  <c r="M25" i="31" s="1"/>
  <c r="I36" i="31"/>
  <c r="K36" i="31" s="1"/>
  <c r="L36" i="31" s="1"/>
  <c r="M36" i="31" s="1"/>
  <c r="I8" i="31"/>
  <c r="K8" i="31" s="1"/>
  <c r="I30" i="31"/>
  <c r="K30" i="31" s="1"/>
  <c r="L30" i="31" s="1"/>
  <c r="M30" i="31" s="1"/>
  <c r="I40" i="31"/>
  <c r="K40" i="31" s="1"/>
  <c r="L40" i="31" s="1"/>
  <c r="M40" i="31" s="1"/>
  <c r="I35" i="31"/>
  <c r="K35" i="31" s="1"/>
  <c r="L35" i="31" s="1"/>
  <c r="M35" i="31" s="1"/>
  <c r="I33" i="31"/>
  <c r="K33" i="31" s="1"/>
  <c r="L33" i="31" s="1"/>
  <c r="M33" i="31" s="1"/>
  <c r="I24" i="31"/>
  <c r="K24" i="31" s="1"/>
  <c r="L24" i="31" s="1"/>
  <c r="M24" i="31" s="1"/>
  <c r="I27" i="31"/>
  <c r="K27" i="31" s="1"/>
  <c r="L27" i="31" s="1"/>
  <c r="M27" i="31" s="1"/>
  <c r="L19" i="31"/>
  <c r="M19" i="31" s="1"/>
  <c r="G43" i="31"/>
  <c r="I43" i="31" l="1"/>
  <c r="K43" i="31"/>
  <c r="L8" i="31"/>
  <c r="L43" i="31" l="1"/>
  <c r="M8" i="31"/>
  <c r="M43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ingere</author>
  </authors>
  <commentList>
    <comment ref="C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Jf arkfane "Pensjon" sortert kun lønnsposter uten pensjon og aga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ingere</author>
    <author>Inger Marie Engelskjønn</author>
    <author>Inger Engelskjønn</author>
  </authors>
  <commentList>
    <comment ref="D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ingere:</t>
        </r>
        <r>
          <rPr>
            <sz val="9"/>
            <color indexed="81"/>
            <rFont val="Tahoma"/>
            <family val="2"/>
          </rPr>
          <t xml:space="preserve">
Eks avskrivinger (kapitalkostnad)
Inkl sykeref</t>
        </r>
      </text>
    </comment>
    <comment ref="E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= Sum kode K, L og U
</t>
        </r>
      </text>
    </comment>
    <comment ref="L6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Inger Engelskjønn:</t>
        </r>
        <r>
          <rPr>
            <sz val="9"/>
            <color indexed="81"/>
            <rFont val="Tahoma"/>
            <family val="2"/>
          </rPr>
          <t xml:space="preserve">
Gjelder refusjoner fra staten, bruk av disp.fond, lønnstillskudd, ref Nav og høgskolen</t>
        </r>
      </text>
    </comment>
    <comment ref="E46" authorId="1" shapeId="0" xr:uid="{0FED896A-52D6-4985-8E4A-55FC3F42EDB9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Netto lærlinger</t>
        </r>
      </text>
    </comment>
    <comment ref="F49" authorId="1" shapeId="0" xr:uid="{4865788F-D8E9-4E16-B3F9-DE6B14A2920D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Forsikring bygg 
inkl Vesteråt kr 161 302
Andel vaktmester åpne bhg kr 34 353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Inger Engelskjønn</author>
  </authors>
  <commentList>
    <comment ref="F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Inger Engelskjønn:</t>
        </r>
        <r>
          <rPr>
            <sz val="8"/>
            <color indexed="81"/>
            <rFont val="Tahoma"/>
            <family val="2"/>
          </rPr>
          <t xml:space="preserve">
Kontrolleres mot tilbakemelding årsmelding Basil.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Inger Marie Engelskjønn</author>
  </authors>
  <commentList>
    <comment ref="D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Cellene D34 og D35 er kun bruk til simulering og har ingen betydning for beregnigen av satsene. Det er antall hele plasser i cellene C34 og C35 som er med videre.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Inger Marie Engelskjønn</author>
  </authors>
  <commentList>
    <comment ref="B31" authorId="0" shapeId="0" xr:uid="{F9E6EDC5-FFEE-4E51-9523-96DFD1D45918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Ansvar 233016 kto 137003</t>
        </r>
      </text>
    </comment>
    <comment ref="B44" authorId="0" shapeId="0" xr:uid="{424B720C-64EA-4B3B-A96A-4E96DEEAB3A3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Ansvar 233016 kto 137003</t>
        </r>
      </text>
    </comment>
    <comment ref="B54" authorId="0" shapeId="0" xr:uid="{EEE1CDD7-240C-42DE-BC58-D213679B148A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Ansvar 233016 kto 137003</t>
        </r>
      </text>
    </comment>
    <comment ref="F59" authorId="0" shapeId="0" xr:uid="{EE9EE9DA-AE7A-49CD-AD97-9FC44FDA56A4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Tilført helårseffekt kapitaltilskudd-21</t>
        </r>
      </text>
    </comment>
    <comment ref="B81" authorId="0" shapeId="0" xr:uid="{E583E1B0-B6CE-4272-84CB-68DD24D438C9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Ansvar 233016 kto 137003</t>
        </r>
      </text>
    </comment>
    <comment ref="G106" authorId="0" shapeId="0" xr:uid="{101EFB81-98D0-40AF-8BC7-5DB3B5030BE5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MP har økt vedlikeholdsbudsjettet på F-221 med 5 mill i 2022. Det betyr isolert sett 10 mill i tilskuddseffekt i 2024. I grunnlaget for tilskuddet i 2023 ligger 13,3 mill inkl strøm</t>
        </r>
      </text>
    </comment>
    <comment ref="B109" authorId="0" shapeId="0" xr:uid="{B67C8A01-011E-48D0-BEFA-71D0C68AFB31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Ansvar 233016 kto 137003</t>
        </r>
      </text>
    </comment>
    <comment ref="I130" authorId="0" shapeId="0" xr:uid="{380ADFDC-96C5-4AD9-8C59-1E330825D88A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+700 000 nye arealer Gjennestad 30 plasser</t>
        </r>
      </text>
    </comment>
    <comment ref="B135" authorId="0" shapeId="0" xr:uid="{DEBB4E05-3C3B-4B17-86AC-BC73FF854413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Ansvar 233016 kto 137003</t>
        </r>
      </text>
    </comment>
    <comment ref="M143" authorId="0" shapeId="0" xr:uid="{9678667F-381E-4CFC-891C-98DD6B8BEF86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kr -500.000 i Framsikt
</t>
        </r>
      </text>
    </comment>
    <comment ref="B169" authorId="0" shapeId="0" xr:uid="{9EF9AF76-68A2-4C7B-B466-5C6EAEB88126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Ansvar 233016 kto 137003</t>
        </r>
      </text>
    </comment>
    <comment ref="J189" authorId="0" shapeId="0" xr:uid="{EEC453BA-A830-4718-8BF0-EEFF86BB5AFC}">
      <text>
        <r>
          <rPr>
            <b/>
            <sz val="9"/>
            <color indexed="81"/>
            <rFont val="Tahoma"/>
            <family val="2"/>
          </rPr>
          <t>Inger Marie Engelskjønn:</t>
        </r>
        <r>
          <rPr>
            <sz val="9"/>
            <color indexed="81"/>
            <rFont val="Tahoma"/>
            <family val="2"/>
          </rPr>
          <t xml:space="preserve">
Avsetning til fond</t>
        </r>
      </text>
    </comment>
  </commentList>
</comments>
</file>

<file path=xl/sharedStrings.xml><?xml version="1.0" encoding="utf-8"?>
<sst xmlns="http://schemas.openxmlformats.org/spreadsheetml/2006/main" count="9596" uniqueCount="643">
  <si>
    <t>Avstemming etter Udir sitt "Regneeksempel - tilskudd til private barnehager 2016" publisert 09.11.2015</t>
  </si>
  <si>
    <t>Brutto driftsutgifter i kommunale barnehager 2024 (F201 og 221)</t>
  </si>
  <si>
    <t>Antall ansatte pr 15/12-2023</t>
  </si>
  <si>
    <t>minus pensjon og arbeidsgiveravgift på pensjonen</t>
  </si>
  <si>
    <t>Antall ansatte pr 15/12-2024</t>
  </si>
  <si>
    <t xml:space="preserve"> = brutto driftsutgifter kommunale barnehager 2024</t>
  </si>
  <si>
    <t>Gjennomsitt</t>
  </si>
  <si>
    <t>Kommunens pensjonsutg. pr heltidsstilling, deflatert</t>
  </si>
  <si>
    <t>Grunnlag pensjonspåslag</t>
  </si>
  <si>
    <t>Kommunens personalkostn per heltidsplass, deflatert</t>
  </si>
  <si>
    <t>Pensjonspåslag eks arbeidsgiveravgift (10%)</t>
  </si>
  <si>
    <t xml:space="preserve"> + arbeidsgiveravgift 14,1%</t>
  </si>
  <si>
    <t xml:space="preserve"> = Pensjonspåslag inkl arbeidsgiveravgift</t>
  </si>
  <si>
    <t xml:space="preserve">Deflatert </t>
  </si>
  <si>
    <t>Administrasjonspåslag blir da:</t>
  </si>
  <si>
    <t>Brutto driftsutgifter 2024</t>
  </si>
  <si>
    <t xml:space="preserve"> + pensjonspåslag inkl arbeidsgiveravgift</t>
  </si>
  <si>
    <t>Andel pensjon for små barn</t>
  </si>
  <si>
    <t xml:space="preserve"> = Grunnlag administrasjonspåslag</t>
  </si>
  <si>
    <t>Andel pensjon for store barn</t>
  </si>
  <si>
    <t>Administrasjonspåslag 4,3%</t>
  </si>
  <si>
    <t>Pensjonsandel av tilskuddssats små barn</t>
  </si>
  <si>
    <t>Deflatorjustering</t>
  </si>
  <si>
    <t>Pensjonsandel av tilskuddssats store barn</t>
  </si>
  <si>
    <t>Sum ordinære driftsutgifter, pensjonspåslag og adm.påslag</t>
  </si>
  <si>
    <t>Deflatorjustering 2025  4,0%</t>
  </si>
  <si>
    <t xml:space="preserve"> = grunnlag deflatorjustering 2023</t>
  </si>
  <si>
    <t>Deflatorjustering 2026  3,5%</t>
  </si>
  <si>
    <t xml:space="preserve"> = Deflatorjustert driftsutgifter 2026</t>
  </si>
  <si>
    <t>Antall oppholdstimer pr år</t>
  </si>
  <si>
    <t>Antall timer</t>
  </si>
  <si>
    <t>Heltidsplasser</t>
  </si>
  <si>
    <t>0-2 år</t>
  </si>
  <si>
    <t>3-6 år</t>
  </si>
  <si>
    <t>Totalt</t>
  </si>
  <si>
    <t>Driftsutgifter inkl adm.påslag fordelt på alder</t>
  </si>
  <si>
    <t>Fordeling av foreldrebetaling på små og store barn:</t>
  </si>
  <si>
    <t>Foreldrebetaling, barn 0-2 år</t>
  </si>
  <si>
    <t>Foreldrebetaling, barn 3-6 år</t>
  </si>
  <si>
    <t>Total</t>
  </si>
  <si>
    <t>Kommunal finansiering (Driftskostnader-foreldrebetaling):</t>
  </si>
  <si>
    <t>Kommunal finansiering, barn 0-2 år</t>
  </si>
  <si>
    <t>Kommunal finansiering, barn 3-6 år</t>
  </si>
  <si>
    <t>Sum kommunal finansiering</t>
  </si>
  <si>
    <t>Tilskuddsats til driftsutgifter i 2026:</t>
  </si>
  <si>
    <t xml:space="preserve">Dato </t>
  </si>
  <si>
    <t>Filnavn:</t>
  </si>
  <si>
    <t>Tilskuddsberegning 2026 v4 Vedtak om sats</t>
  </si>
  <si>
    <t>Regnskap</t>
  </si>
  <si>
    <t>Årsregnskap 2024 Sandefjord kommune</t>
  </si>
  <si>
    <t>Tilskudd 2026 basert på regnskap 2024</t>
  </si>
  <si>
    <t>Beregnede tilskuddssatser</t>
  </si>
  <si>
    <t>Drift og adm</t>
  </si>
  <si>
    <t>Kapital</t>
  </si>
  <si>
    <t>Samlet sats for Sandefjord</t>
  </si>
  <si>
    <t>Avvik fra samlet nasjonal sats</t>
  </si>
  <si>
    <t>Sats pr time</t>
  </si>
  <si>
    <t>Beregnet</t>
  </si>
  <si>
    <t>Nasjonal</t>
  </si>
  <si>
    <t>Tilskuddssats drift, barn 0-2 år</t>
  </si>
  <si>
    <t>Tilksuddssats drift, barn 3-6 år</t>
  </si>
  <si>
    <t>Samlet sats for Sandefjord*</t>
  </si>
  <si>
    <t>Sats pr heltidsplass</t>
  </si>
  <si>
    <t>* Brukt nasjonal sats for kapitaltilskuddet</t>
  </si>
  <si>
    <t>Deflator</t>
  </si>
  <si>
    <t>Input, kommunale barnehager</t>
  </si>
  <si>
    <t>Regnskap 2023, funksjon 201,211 og 221</t>
  </si>
  <si>
    <t xml:space="preserve">Steg 1  </t>
  </si>
  <si>
    <t>Steg 2</t>
  </si>
  <si>
    <t>Steg 3</t>
  </si>
  <si>
    <t xml:space="preserve">Steg 4 </t>
  </si>
  <si>
    <t>Steg 5</t>
  </si>
  <si>
    <t>Steg 6</t>
  </si>
  <si>
    <t>Steg 7</t>
  </si>
  <si>
    <t>Steg 8</t>
  </si>
  <si>
    <t>Steg 9</t>
  </si>
  <si>
    <t>Steg 10</t>
  </si>
  <si>
    <t>Steg 11</t>
  </si>
  <si>
    <t>Ansvar</t>
  </si>
  <si>
    <t>Hele regnskapet, brutto driftsutgifter, funksjon 201 (fratr lønnsref)</t>
  </si>
  <si>
    <t>Hele regnskapet, netto driftsutgifter, funksjon 211</t>
  </si>
  <si>
    <t>Hele regnskapet, brutto driftsutgifter, funksjon 221</t>
  </si>
  <si>
    <t>På utsiden av beregningsgrunnlaget 201 og 221</t>
  </si>
  <si>
    <t>Andel åpen barnehage og andre funksjoner</t>
  </si>
  <si>
    <t>Barn med spesielle behov f-211</t>
  </si>
  <si>
    <t>Uttrekk pensjon inkl. AGA f201 og 221</t>
  </si>
  <si>
    <t>Påslag pensjon 10% pluss AGA</t>
  </si>
  <si>
    <t>Brutto kostnader i beregningsgr.laget</t>
  </si>
  <si>
    <t>Foreldre-betaling inkl kost</t>
  </si>
  <si>
    <t>Øvrige inntekter til fratrekk</t>
  </si>
  <si>
    <t>Kontroll</t>
  </si>
  <si>
    <t>211000 - Pedagogisk-psykologisk tjeneste</t>
  </si>
  <si>
    <t>213130 - Varden familiesenter</t>
  </si>
  <si>
    <t>221020 - Kompetanseutvikling, felles</t>
  </si>
  <si>
    <t>222180 - Ormestad skole</t>
  </si>
  <si>
    <t>222220 - Unneberg skole</t>
  </si>
  <si>
    <t>222250 - Virik skole</t>
  </si>
  <si>
    <t>231000 - Barnehageadministrasjon</t>
  </si>
  <si>
    <t>231002 - Styrket tilbud barn med spesielle behov</t>
  </si>
  <si>
    <t>232000 - Kommunale barnehager felles</t>
  </si>
  <si>
    <t>232010 - Barnas hus barnehage</t>
  </si>
  <si>
    <t>232020 - Bugården barnehage</t>
  </si>
  <si>
    <t>232030 - Elverhøy barnehage</t>
  </si>
  <si>
    <t>232040 - Feen barnehage</t>
  </si>
  <si>
    <t>232050 - Frydenberg barnehage</t>
  </si>
  <si>
    <t>232060 - Gravdal barnehage</t>
  </si>
  <si>
    <t>232070 - Haukerød barnehage</t>
  </si>
  <si>
    <t>232080 - Høyjord barnehage</t>
  </si>
  <si>
    <t>232090 - Kapteinløkka barnehage</t>
  </si>
  <si>
    <t>232100 - Kodal barnehage</t>
  </si>
  <si>
    <t>232110 - Krokemoa barnehage</t>
  </si>
  <si>
    <t>232120 - Modalen barnehage</t>
  </si>
  <si>
    <t>232130 - Møyland barnehage</t>
  </si>
  <si>
    <t>232140 - Ranvik barnehage</t>
  </si>
  <si>
    <t>232150 - Ringkollen barnehage</t>
  </si>
  <si>
    <t>232160 - Svartås barnehage</t>
  </si>
  <si>
    <t>232170 - Trekanten barnehage</t>
  </si>
  <si>
    <t>232180 - Trudvang barnehage</t>
  </si>
  <si>
    <t>232190 - Tuften barnehage</t>
  </si>
  <si>
    <t>232200 - Vardenlia barnehage</t>
  </si>
  <si>
    <t>232210 - Vesteråt barnehage</t>
  </si>
  <si>
    <t>232220 - Åsane barnehage</t>
  </si>
  <si>
    <t>232230-2 - Åpen barnehage</t>
  </si>
  <si>
    <t>232240 - Ormestad barnehage</t>
  </si>
  <si>
    <t>233000 - Barnehagemyndigheten felles</t>
  </si>
  <si>
    <t>233010 - Pedagogisk tilrettel. barn m/ spes.behov</t>
  </si>
  <si>
    <t>233012 - Pedagogisk tilrettel. flerspråk. barn</t>
  </si>
  <si>
    <t>233014 - Fellestiltak</t>
  </si>
  <si>
    <t>233016 - Ikke-kommunale barnehager</t>
  </si>
  <si>
    <t>Seksjon 11, 12, 13 og 14, samt 19</t>
  </si>
  <si>
    <t>3-serien - Helse, sosial og omsorg</t>
  </si>
  <si>
    <t>4-serien - Kultur, fritid</t>
  </si>
  <si>
    <t>5-serien - Miljø og plan</t>
  </si>
  <si>
    <t>6-serien - Eiendom</t>
  </si>
  <si>
    <t>Seksjon 81 Avskrivninger</t>
  </si>
  <si>
    <t>Seksjon 89 Fordelte utgifter</t>
  </si>
  <si>
    <t>Sum</t>
  </si>
  <si>
    <t>Dokument med en underskrift etter avtale med Kerstin Skofteland</t>
  </si>
  <si>
    <t>Vedtak om kommunalt tilskudd til private barnehager 2026</t>
  </si>
  <si>
    <t>Navn på barnehagen</t>
  </si>
  <si>
    <t>Antall heltidsplasser 0-2 år</t>
  </si>
  <si>
    <t>Antall heltidsplasser 3-6 år</t>
  </si>
  <si>
    <t>Avkortning pga areal og bemanning</t>
  </si>
  <si>
    <t>Sum drift</t>
  </si>
  <si>
    <t>Kapital-tilskudd</t>
  </si>
  <si>
    <t>Sum tilskudd 2025</t>
  </si>
  <si>
    <t>Utbetalt tom 1.kv</t>
  </si>
  <si>
    <t>Akonto-utbetaling pr md fra april</t>
  </si>
  <si>
    <t>Skagerak Kindergarten</t>
  </si>
  <si>
    <t>Krokenskogen Kanvasbarnehage</t>
  </si>
  <si>
    <t>Gjekstad Kanvasbarnhage</t>
  </si>
  <si>
    <t>Breidablikk Kanvasbarnehage</t>
  </si>
  <si>
    <t>Karisletta Kanvasbarnehage</t>
  </si>
  <si>
    <t>Barnas Have</t>
  </si>
  <si>
    <t>Furustad barnehage</t>
  </si>
  <si>
    <t>Gapahuken barnehage</t>
  </si>
  <si>
    <t>Helgerød barnehage</t>
  </si>
  <si>
    <t>Hunsrød foreldrelagsbarnehage</t>
  </si>
  <si>
    <t>Høgenhall barnehage</t>
  </si>
  <si>
    <t>Knøttetreff</t>
  </si>
  <si>
    <t>Krokusen barnehage</t>
  </si>
  <si>
    <t>Lahelle barnehage</t>
  </si>
  <si>
    <t>Mokollen barnehage</t>
  </si>
  <si>
    <t>Napperød Naturbarnehage</t>
  </si>
  <si>
    <t>Pingeline barnehage</t>
  </si>
  <si>
    <t>Prestekragen barnehage</t>
  </si>
  <si>
    <t>Eplebl. Steinerbarnehage</t>
  </si>
  <si>
    <t>Sole barnehage</t>
  </si>
  <si>
    <t>Solvang barnehage</t>
  </si>
  <si>
    <t>Sverstad barnehage</t>
  </si>
  <si>
    <t>Veslehaven barnehage</t>
  </si>
  <si>
    <t>Vesterøy barnehage</t>
  </si>
  <si>
    <t>Villa Villekulla barnehage</t>
  </si>
  <si>
    <t>Østerøy barnehage</t>
  </si>
  <si>
    <t>Løkka barnehage</t>
  </si>
  <si>
    <t>Espira Åbol barnehage</t>
  </si>
  <si>
    <t>Kulturbarnehagen Nohas</t>
  </si>
  <si>
    <t>Veraåsen barnehage</t>
  </si>
  <si>
    <t xml:space="preserve">Gjennestad barnehage </t>
  </si>
  <si>
    <t>Hoppensprett barnehage</t>
  </si>
  <si>
    <t xml:space="preserve">Olaløkka barnehage </t>
  </si>
  <si>
    <t>Smiehavna Gårdsbarnehage</t>
  </si>
  <si>
    <t>Per 12.09.2025 (forventet 15/12)</t>
  </si>
  <si>
    <t>Sum (uten åpen)</t>
  </si>
  <si>
    <t>Per 15.12.2024</t>
  </si>
  <si>
    <t>1. tert: Avvikling av Kathrines Have</t>
  </si>
  <si>
    <t>Budsjettert antall</t>
  </si>
  <si>
    <t>Forventet endring</t>
  </si>
  <si>
    <t>endr tilskudd</t>
  </si>
  <si>
    <t>Redusert inntekt makspris, økt tilskudd</t>
  </si>
  <si>
    <t>Kapital u/def</t>
  </si>
  <si>
    <t>inkl 3,5%</t>
  </si>
  <si>
    <t>Beregning, kommunalt tilskudd</t>
  </si>
  <si>
    <t>Faktorer for beregning av tilskuddssatser, private barnehager</t>
  </si>
  <si>
    <t>Kategori</t>
  </si>
  <si>
    <t>Gj.snitt</t>
  </si>
  <si>
    <t>Kilde:</t>
  </si>
  <si>
    <t xml:space="preserve">0-8 timer per uke </t>
  </si>
  <si>
    <t>Forskrift om likev.beh</t>
  </si>
  <si>
    <t xml:space="preserve">9-16 timer per uke </t>
  </si>
  <si>
    <t xml:space="preserve">17-24 timer per uke </t>
  </si>
  <si>
    <t xml:space="preserve">25-32 timer per uke </t>
  </si>
  <si>
    <t xml:space="preserve">33-40 timer per uke </t>
  </si>
  <si>
    <t>41 timer eller mer</t>
  </si>
  <si>
    <t>Antall uker pr år</t>
  </si>
  <si>
    <t>Faktor små barn</t>
  </si>
  <si>
    <t>Forskrift om likev.beh
Sjekkes hvert år mot ev. endringer i forskrift</t>
  </si>
  <si>
    <t>Brutto kostnader fratrukket øvrige inntekter</t>
  </si>
  <si>
    <t>Steg 9, input</t>
  </si>
  <si>
    <t>Foreldrebetaling inkl kostpenger</t>
  </si>
  <si>
    <t>Steg 10, erstattet</t>
  </si>
  <si>
    <t>Fellesadministrative kostnader</t>
  </si>
  <si>
    <t>Sjekkes hvert år mot ev. endringer i forskrift</t>
  </si>
  <si>
    <t>Tilskuddssats kapital, barn 0-2 år</t>
  </si>
  <si>
    <t>Tilksuddssats kapital, barn 3-6 år</t>
  </si>
  <si>
    <t>Beregning av tilskuddsatser, Sandefjord kommune</t>
  </si>
  <si>
    <t>Pr 15.12.2023</t>
  </si>
  <si>
    <t>Oppholdstid</t>
  </si>
  <si>
    <t xml:space="preserve">Sum </t>
  </si>
  <si>
    <t>Ant.barn</t>
  </si>
  <si>
    <t>Født 2021-&gt;</t>
  </si>
  <si>
    <t>Født 2020&lt;-</t>
  </si>
  <si>
    <t>0-8 timer</t>
  </si>
  <si>
    <t>9-16 timer</t>
  </si>
  <si>
    <t>17-24 timer</t>
  </si>
  <si>
    <t>25-32 timer</t>
  </si>
  <si>
    <t>33-40 timer</t>
  </si>
  <si>
    <t>Sum antall timer</t>
  </si>
  <si>
    <t>Vektet</t>
  </si>
  <si>
    <t>Pr 15.12.2024</t>
  </si>
  <si>
    <t>Født 2022-&gt;</t>
  </si>
  <si>
    <t>Født 2021&lt;-</t>
  </si>
  <si>
    <t>Fordeling av kostnader, små og store barn</t>
  </si>
  <si>
    <t>Driftskostnader, barn 0-2 år</t>
  </si>
  <si>
    <t>Driftskostnader, barn 3-6 år</t>
  </si>
  <si>
    <t>Foreldrebetaling:</t>
  </si>
  <si>
    <t>(makspris i tilskuddsåret</t>
  </si>
  <si>
    <t>2026-sats</t>
  </si>
  <si>
    <t>Offentlig finansiering (Driftskostnader-foreldrebetaling):</t>
  </si>
  <si>
    <t>Offentlig finansiering, barn 0-2 år</t>
  </si>
  <si>
    <t>Offentlig finansiering, barn 3-6 år</t>
  </si>
  <si>
    <t xml:space="preserve">Off.finansiering pr heltidsplasser, eksl. adm.tillegg </t>
  </si>
  <si>
    <t>Pr heltidsplass</t>
  </si>
  <si>
    <t>Pr oppholdstime</t>
  </si>
  <si>
    <t>Kostpenger (regnskapstall)</t>
  </si>
  <si>
    <t>Ansvar (T)</t>
  </si>
  <si>
    <t>Kr</t>
  </si>
  <si>
    <t>Påsalg administrasjonskostander 4,3% av brutto driftsutgifter</t>
  </si>
  <si>
    <t>Barnas hus barnehage</t>
  </si>
  <si>
    <t>Tilskuddssats administrasjon, barn 0-2 år</t>
  </si>
  <si>
    <t>Bugården barnehage</t>
  </si>
  <si>
    <t>Tilksuddssats administrasjon, barn 3-6 år</t>
  </si>
  <si>
    <t>Elverhøy barnehage</t>
  </si>
  <si>
    <t>Feen barnehage</t>
  </si>
  <si>
    <t>Nasjonale tilskuddssatser, kapital</t>
  </si>
  <si>
    <t>Frydenberg barnehage</t>
  </si>
  <si>
    <t>Gravdal barnehage</t>
  </si>
  <si>
    <t>Haukerød barnehage</t>
  </si>
  <si>
    <t>Høyjord barnehage</t>
  </si>
  <si>
    <t xml:space="preserve">Tilskudd drift </t>
  </si>
  <si>
    <t>Sandefjord</t>
  </si>
  <si>
    <t>Nasjonalt (10%)</t>
  </si>
  <si>
    <t>Avvik</t>
  </si>
  <si>
    <t>Kapteinløkka barnehage</t>
  </si>
  <si>
    <t>Kodal barnehage</t>
  </si>
  <si>
    <t>Krokemoa barnehage</t>
  </si>
  <si>
    <t>Modalen barnehage</t>
  </si>
  <si>
    <t>Møyland barnehage</t>
  </si>
  <si>
    <t>Ranvik barnehage</t>
  </si>
  <si>
    <t>Ringkollen barnehage</t>
  </si>
  <si>
    <t>Svartås barnehage</t>
  </si>
  <si>
    <t>Trekanten barnehage</t>
  </si>
  <si>
    <t>Trudvang barnehage</t>
  </si>
  <si>
    <t>Tuften barnehage</t>
  </si>
  <si>
    <t>Vardenlia barnehage</t>
  </si>
  <si>
    <t>Åsane barnehage</t>
  </si>
  <si>
    <t>Ormestad barnehge</t>
  </si>
  <si>
    <t>Grunnlag</t>
  </si>
  <si>
    <t>10% av grl.lag</t>
  </si>
  <si>
    <t>14,1% av 10% pensjon</t>
  </si>
  <si>
    <t>Sum inkl aga</t>
  </si>
  <si>
    <t>KKl</t>
  </si>
  <si>
    <t>ANSVAR</t>
  </si>
  <si>
    <t>Ansvarstekst</t>
  </si>
  <si>
    <t>Seksjon</t>
  </si>
  <si>
    <t>HKSTED</t>
  </si>
  <si>
    <t>Type</t>
  </si>
  <si>
    <t>KONTO</t>
  </si>
  <si>
    <t>KONTOTEKST</t>
  </si>
  <si>
    <t>FUNKSJON</t>
  </si>
  <si>
    <t>PROSJEKT</t>
  </si>
  <si>
    <t>OBJEKT</t>
  </si>
  <si>
    <t>Innt/utg</t>
  </si>
  <si>
    <t>REGNSKAP</t>
  </si>
  <si>
    <t>BUDSJETT gjeld</t>
  </si>
  <si>
    <t>Uttrekk pensjon</t>
  </si>
  <si>
    <t>A</t>
  </si>
  <si>
    <t>113013</t>
  </si>
  <si>
    <t>Forsikring gruppeliv</t>
  </si>
  <si>
    <t>11</t>
  </si>
  <si>
    <t>1130</t>
  </si>
  <si>
    <t>1 lønn</t>
  </si>
  <si>
    <t>Fordel naturalytelser motpost</t>
  </si>
  <si>
    <t>1283</t>
  </si>
  <si>
    <t/>
  </si>
  <si>
    <t>U</t>
  </si>
  <si>
    <t>Fordel naturalytelser</t>
  </si>
  <si>
    <t>1282</t>
  </si>
  <si>
    <t>Gruppelivsforsikring</t>
  </si>
  <si>
    <t>Arbeidsgiveravgift</t>
  </si>
  <si>
    <t>113060</t>
  </si>
  <si>
    <t>Lærlinger</t>
  </si>
  <si>
    <t>Diverse andre tillegg, faste stillinger</t>
  </si>
  <si>
    <t>121910</t>
  </si>
  <si>
    <t>Endring 13. måned lønn</t>
  </si>
  <si>
    <t>12</t>
  </si>
  <si>
    <t>1219</t>
  </si>
  <si>
    <t>Periodisering av  lønn til vikarer - 13 mnd lønn mm.</t>
  </si>
  <si>
    <t>Periodisering av pensjonspremie, 13 mnd lønn mm.</t>
  </si>
  <si>
    <t>Periodisering av aga av 13 mnd lønn mm.</t>
  </si>
  <si>
    <t>191011</t>
  </si>
  <si>
    <t>SkP funksjonsford. premie</t>
  </si>
  <si>
    <t>19</t>
  </si>
  <si>
    <t>1910</t>
  </si>
  <si>
    <t>Pensjonspremie, SkP (arbeidsgivers andel)</t>
  </si>
  <si>
    <t>232000</t>
  </si>
  <si>
    <t>Kommunale barnehager felles</t>
  </si>
  <si>
    <t>23</t>
  </si>
  <si>
    <t>2320</t>
  </si>
  <si>
    <t>Lønn i faste stillinger</t>
  </si>
  <si>
    <t>1589</t>
  </si>
  <si>
    <t>1289</t>
  </si>
  <si>
    <t>1278</t>
  </si>
  <si>
    <t>232010</t>
  </si>
  <si>
    <t>1550</t>
  </si>
  <si>
    <t>Vikarer i vakanser</t>
  </si>
  <si>
    <t>1553</t>
  </si>
  <si>
    <t>Lønn til vikarer</t>
  </si>
  <si>
    <t>Vikarer ved lønnet permisjon</t>
  </si>
  <si>
    <t>Sykevikarer</t>
  </si>
  <si>
    <t>Ferievikarer</t>
  </si>
  <si>
    <t>Kvelds- og nattillegg, vikarer</t>
  </si>
  <si>
    <t>Lønn til ekstrahjelp</t>
  </si>
  <si>
    <t>Kvelds- og nattillegg, ekstrahjelp</t>
  </si>
  <si>
    <t>Diverse andre tillegg, ekstrahjelp</t>
  </si>
  <si>
    <t>Overtidslønn</t>
  </si>
  <si>
    <t>Lønn lærlinger</t>
  </si>
  <si>
    <t>Forskjøvet arbeidstid</t>
  </si>
  <si>
    <t>Andre trekkpliktige godtgjørelser</t>
  </si>
  <si>
    <t>232020</t>
  </si>
  <si>
    <t>1725</t>
  </si>
  <si>
    <t>1545</t>
  </si>
  <si>
    <t>1732</t>
  </si>
  <si>
    <t>10004</t>
  </si>
  <si>
    <t>232030</t>
  </si>
  <si>
    <t>1681</t>
  </si>
  <si>
    <t>1714</t>
  </si>
  <si>
    <t>1627</t>
  </si>
  <si>
    <t>232040</t>
  </si>
  <si>
    <t>232050</t>
  </si>
  <si>
    <t>Lørdags og søndagstillegg, vikarer</t>
  </si>
  <si>
    <t>232060</t>
  </si>
  <si>
    <t>232070</t>
  </si>
  <si>
    <t>232080</t>
  </si>
  <si>
    <t>1704</t>
  </si>
  <si>
    <t>232090</t>
  </si>
  <si>
    <t>1518</t>
  </si>
  <si>
    <t>232100</t>
  </si>
  <si>
    <t>2321</t>
  </si>
  <si>
    <t>Skattepliktig stipend</t>
  </si>
  <si>
    <t>232110</t>
  </si>
  <si>
    <t>232120</t>
  </si>
  <si>
    <t>232130</t>
  </si>
  <si>
    <t>232140</t>
  </si>
  <si>
    <t>232150</t>
  </si>
  <si>
    <t>232160</t>
  </si>
  <si>
    <t>Pensjonspremie, SPK lærere (arbeidsgivers andel)</t>
  </si>
  <si>
    <t>232170</t>
  </si>
  <si>
    <t>232180</t>
  </si>
  <si>
    <t>232190</t>
  </si>
  <si>
    <t>232200</t>
  </si>
  <si>
    <t>2322</t>
  </si>
  <si>
    <t>232210</t>
  </si>
  <si>
    <t>Vesteråt barnehage</t>
  </si>
  <si>
    <t>232220</t>
  </si>
  <si>
    <t>232230</t>
  </si>
  <si>
    <t>Åpen barnehage, Sentrum</t>
  </si>
  <si>
    <t>Hjemmevakt</t>
  </si>
  <si>
    <t>232232</t>
  </si>
  <si>
    <t>Åpen bhg. Kroken</t>
  </si>
  <si>
    <t>232240</t>
  </si>
  <si>
    <t>Ormestad barnehage</t>
  </si>
  <si>
    <t>387050</t>
  </si>
  <si>
    <t>Stokke bemannet omsorgsbolig</t>
  </si>
  <si>
    <t>38</t>
  </si>
  <si>
    <t>3870</t>
  </si>
  <si>
    <t>Lørdags- og søndagstillegg, ekstrahjelp</t>
  </si>
  <si>
    <t>534040</t>
  </si>
  <si>
    <t>Byggdrift sentrum</t>
  </si>
  <si>
    <t>53</t>
  </si>
  <si>
    <t>5340</t>
  </si>
  <si>
    <t>22204</t>
  </si>
  <si>
    <t>24203</t>
  </si>
  <si>
    <t>24220</t>
  </si>
  <si>
    <t>24221</t>
  </si>
  <si>
    <t>Overtidslønn, vedlikehold</t>
  </si>
  <si>
    <t>Diverse andre tillegg, vedlikehold</t>
  </si>
  <si>
    <t>534050</t>
  </si>
  <si>
    <t>Byggdrift Andebu og Stokke</t>
  </si>
  <si>
    <t>534060</t>
  </si>
  <si>
    <t>Byggdrift HSO-bygg</t>
  </si>
  <si>
    <t>Lørdags og søndagstillegg, faste stillinger</t>
  </si>
  <si>
    <t>Kvelds- og nattillegg, faste stillinger</t>
  </si>
  <si>
    <t>536010</t>
  </si>
  <si>
    <t>Prosjektledelse nybygg og rehabilitering</t>
  </si>
  <si>
    <t>5360</t>
  </si>
  <si>
    <t>7234</t>
  </si>
  <si>
    <t>24273</t>
  </si>
  <si>
    <t>891000</t>
  </si>
  <si>
    <t>Kontofordelte utg. serviceenheter park og idrett</t>
  </si>
  <si>
    <t>89</t>
  </si>
  <si>
    <t>8910</t>
  </si>
  <si>
    <t>Honorar</t>
  </si>
  <si>
    <t>Lønn vedlikehold/nybygg og nyanlegg</t>
  </si>
  <si>
    <t>891015</t>
  </si>
  <si>
    <t>Kontofordelte utg. serviceenheter vei og trafikk</t>
  </si>
  <si>
    <t>891030</t>
  </si>
  <si>
    <t>Kontofordelte utg. serviceenheter verksted</t>
  </si>
  <si>
    <t>891040</t>
  </si>
  <si>
    <t>Kontofordelte utg. serviceenheter vedlikehold</t>
  </si>
  <si>
    <t>891050</t>
  </si>
  <si>
    <t>Kontofordelte utg. serviceenheter renhold</t>
  </si>
  <si>
    <t>21404</t>
  </si>
  <si>
    <t>Lønn renhold</t>
  </si>
  <si>
    <t>21112</t>
  </si>
  <si>
    <t>21118</t>
  </si>
  <si>
    <t>23203</t>
  </si>
  <si>
    <t>24201</t>
  </si>
  <si>
    <t>24206</t>
  </si>
  <si>
    <t>24207</t>
  </si>
  <si>
    <t>24209</t>
  </si>
  <si>
    <t>24210</t>
  </si>
  <si>
    <t>24212</t>
  </si>
  <si>
    <t>24213</t>
  </si>
  <si>
    <t>24214</t>
  </si>
  <si>
    <t>24222</t>
  </si>
  <si>
    <t>24264</t>
  </si>
  <si>
    <t>24265</t>
  </si>
  <si>
    <t>24266</t>
  </si>
  <si>
    <t>24267</t>
  </si>
  <si>
    <t>24268</t>
  </si>
  <si>
    <t>24269</t>
  </si>
  <si>
    <t>24271</t>
  </si>
  <si>
    <t>24272</t>
  </si>
  <si>
    <t>24274</t>
  </si>
  <si>
    <t>24277</t>
  </si>
  <si>
    <t>1669</t>
  </si>
  <si>
    <t>25703</t>
  </si>
  <si>
    <t>Barnehage</t>
  </si>
  <si>
    <t>Byggeår</t>
  </si>
  <si>
    <t>Sats</t>
  </si>
  <si>
    <t>Kapitalsatser (2026-sats)</t>
  </si>
  <si>
    <t>Kapitalsatser (2025-sats)</t>
  </si>
  <si>
    <t>Soltoppen barnehage</t>
  </si>
  <si>
    <t>Toppen barnehage</t>
  </si>
  <si>
    <t>reduksjon</t>
  </si>
  <si>
    <t>Solløkka barnehage</t>
  </si>
  <si>
    <t>30 plasser i 2023</t>
  </si>
  <si>
    <t>Satser 2026</t>
  </si>
  <si>
    <t>Driftstilskudd private barnehager</t>
  </si>
  <si>
    <t>Små barn</t>
  </si>
  <si>
    <t>Store barn</t>
  </si>
  <si>
    <t>Satser per plass andre private barnehager</t>
  </si>
  <si>
    <t>Nasjonale satser for kommuner uten kommunale bhg</t>
  </si>
  <si>
    <r>
      <t xml:space="preserve">Kapitaltilskudd til private ordinære barnehager </t>
    </r>
    <r>
      <rPr>
        <b/>
        <sz val="11"/>
        <color theme="0" tint="-0.249977111117893"/>
        <rFont val="Times New Roman"/>
        <family val="1"/>
      </rPr>
      <t>*</t>
    </r>
  </si>
  <si>
    <t>Sats per plass</t>
  </si>
  <si>
    <t>endring</t>
  </si>
  <si>
    <t>Til og med 2015</t>
  </si>
  <si>
    <t>2016, 2017 og 2018</t>
  </si>
  <si>
    <t>2019, 2020 og 2021</t>
  </si>
  <si>
    <t>2022, 2023 og 2024</t>
  </si>
  <si>
    <t>* satsene er ennå ikke offentliggjorte</t>
  </si>
  <si>
    <t>Tilskudd private åpne barnehager</t>
  </si>
  <si>
    <t>endr</t>
  </si>
  <si>
    <t>Åpningstid på 6 til 15 timer</t>
  </si>
  <si>
    <t>Åpningstid på 16 timer eller mer</t>
  </si>
  <si>
    <t>Kommunalt driftstilskudd</t>
  </si>
  <si>
    <t>Framskr 2018</t>
  </si>
  <si>
    <t>Vedtatt økonomiplan 2017-2020</t>
  </si>
  <si>
    <t>Manglende priskompensasjon tiltak fra forrige økonomiplan</t>
  </si>
  <si>
    <t>Unntak fra prissimuleringsjobbene</t>
  </si>
  <si>
    <t>Deflator 2018-2021</t>
  </si>
  <si>
    <t>1. tertial OK</t>
  </si>
  <si>
    <t>Økt ant. barnehagelærere fordelt</t>
  </si>
  <si>
    <t>Div korr</t>
  </si>
  <si>
    <t>2. tertial OK</t>
  </si>
  <si>
    <t>Ped.-/bemann.norm bhg</t>
  </si>
  <si>
    <t>Statsbud OK inkl ford på objekt</t>
  </si>
  <si>
    <t>Kommunestyrets vedtak til økonomiplanen</t>
  </si>
  <si>
    <t>Økonomiplan 2018-2021</t>
  </si>
  <si>
    <t>Fremskr. 2019</t>
  </si>
  <si>
    <t>2. tertial OK (kons økt strøm kom.bhg)</t>
  </si>
  <si>
    <t>Statsbud OK og korr priv barnehager</t>
  </si>
  <si>
    <t>Delsum</t>
  </si>
  <si>
    <t>Deflator 2019-2022 (2,9%)</t>
  </si>
  <si>
    <t>Unntak fra automatiske prisjusteringer</t>
  </si>
  <si>
    <t>Korrigering objekt 99***</t>
  </si>
  <si>
    <t>Vedtak 2018 +3,4% påslag, internfordeling</t>
  </si>
  <si>
    <t>Rullering ped-/bemanning (P-1589)</t>
  </si>
  <si>
    <t>Økonomiplan 2019-2022</t>
  </si>
  <si>
    <t>Fremskr. 2020</t>
  </si>
  <si>
    <t>Statbudsjettet</t>
  </si>
  <si>
    <t>Tilsk. priv. bhg. ny beregning for 2019</t>
  </si>
  <si>
    <t>Rullert budsjett 2020 - 2023</t>
  </si>
  <si>
    <t>Deflatorjustering 2020 3 %</t>
  </si>
  <si>
    <t>Unntak fra automatiske prisjusteringer ved rullering</t>
  </si>
  <si>
    <t>2. tertial 2019</t>
  </si>
  <si>
    <t>Statsbud.: Ny lønnsvekst økt kommunalt tilskudd</t>
  </si>
  <si>
    <t>Økonomiplan 2020-2023</t>
  </si>
  <si>
    <t>Fremskr. 2021</t>
  </si>
  <si>
    <t>Deflator 2,1%</t>
  </si>
  <si>
    <t>1.tertial</t>
  </si>
  <si>
    <t>Endret lønnsvekst fra 2,5 til 2,2%</t>
  </si>
  <si>
    <t>Økt tilskudd (inkl økt søknad om deknig av pensjon med 1 mill)</t>
  </si>
  <si>
    <t>Redusert kapitalsats 1.halvår</t>
  </si>
  <si>
    <t>Statsbud.: Reversert kapital og pensjonspåslag</t>
  </si>
  <si>
    <t>Økonomiplan 2021-2024</t>
  </si>
  <si>
    <t>Bruk av avsetning fra 2019</t>
  </si>
  <si>
    <t>Fremskr. 2022</t>
  </si>
  <si>
    <t>RNB: Kapitaltilskudd private barnehager, endret sats fra 1/7-21</t>
  </si>
  <si>
    <t>Defaltor 2,8%</t>
  </si>
  <si>
    <t>1.tertial: Kapitaltilskudd private barnehager, endret antall små/store</t>
  </si>
  <si>
    <t>1.tertial: Tilskuddskonsekv. Vikarer (korona)</t>
  </si>
  <si>
    <t>1.tertial: Tilskuddskonsekv. Øvrig drift (korona)</t>
  </si>
  <si>
    <t>Innsparing: 1 avdeling høsteffekt</t>
  </si>
  <si>
    <t>Rammesak: 1 avdeling høsteffekt</t>
  </si>
  <si>
    <t>Økt kapitalsats 2.halvår-21</t>
  </si>
  <si>
    <t>2.tertial: Økt behov for vikarer (korona)</t>
  </si>
  <si>
    <t>2.tertial: Økt tilskudd pg økte kostn kom.bhg (korona)</t>
  </si>
  <si>
    <t>Framsikt 15.10.2021</t>
  </si>
  <si>
    <t>Konsekvenser av statsbudsjettet:</t>
  </si>
  <si>
    <t>Endret deflator fra 2,7 til 3,3 og fra 2,4 til 2,5%</t>
  </si>
  <si>
    <t>Makspris fra 3230 til 3315</t>
  </si>
  <si>
    <t>Bhg med 11% pensjonspåslag</t>
  </si>
  <si>
    <t>Endr kapitalsats 2020 nivå +3%</t>
  </si>
  <si>
    <t>Økning i antall barn (2 små og 1 stort)</t>
  </si>
  <si>
    <t>Bruk av avsatt fond i 2020 pga covid-19</t>
  </si>
  <si>
    <t>Makspris 3050 fom 01.08.22, kons tilskudd til de private barnehagene</t>
  </si>
  <si>
    <t>Pensjonspåslag 10%, men 12% for enkeltstående priv barnehager</t>
  </si>
  <si>
    <t>Nasjonale satser kapital og åpen bhg</t>
  </si>
  <si>
    <t>Økonomiplan 2022-2025</t>
  </si>
  <si>
    <t>Covid-19, forventet "normalisering"</t>
  </si>
  <si>
    <t>Avsatt fond</t>
  </si>
  <si>
    <t>Fremskr. 2023</t>
  </si>
  <si>
    <t>?</t>
  </si>
  <si>
    <t>Opprinnelig iflg Framsikt</t>
  </si>
  <si>
    <t>Makspris bhg 3050 fom 01.08.2022</t>
  </si>
  <si>
    <t>Pris- og lønnsvekst, lønn</t>
  </si>
  <si>
    <t>Vedtak 2022</t>
  </si>
  <si>
    <t>1. tert: Nye vedtak pga redusert aga 3.term 2020</t>
  </si>
  <si>
    <t>2. tert: Effekt høye strømpriser i 2022</t>
  </si>
  <si>
    <t>Makspris barnehage endret fra 3050 til 3000 per md</t>
  </si>
  <si>
    <t>Pensjonspåslag 10%, men 11% for enkeltstående priv barnehager</t>
  </si>
  <si>
    <t>Påslag lønnsvekst fra 3,9% til 4,2%</t>
  </si>
  <si>
    <t>Jf Framsikt 20.10.2022</t>
  </si>
  <si>
    <t>Tilskuddsberegning for 2023:</t>
  </si>
  <si>
    <t>Nasjonale tilskuddssatser for kapital</t>
  </si>
  <si>
    <t>Endret deflator fra 3,7 til 5,3 fra 2021 til 2022</t>
  </si>
  <si>
    <t>Foventet endret barnetall per 15/12</t>
  </si>
  <si>
    <t>NY bregning basert på regnskap</t>
  </si>
  <si>
    <t>Ikke P-1099 fom 2024 (beregnes nytt primo-23)</t>
  </si>
  <si>
    <t>Vedlikeholdsnivå videreføres på 2021-nivå, jf MP</t>
  </si>
  <si>
    <t>Andel strøm i 2023-tilskuddet (videreføres ikke)</t>
  </si>
  <si>
    <t>Merutgifter pga Covid-19 i 2022, avsatt bundet fond</t>
  </si>
  <si>
    <t>Økonomiplan 2023-2026</t>
  </si>
  <si>
    <t>Diff?</t>
  </si>
  <si>
    <t>Fremskr. 2024</t>
  </si>
  <si>
    <t xml:space="preserve">Tidligere vedtatte tiltak </t>
  </si>
  <si>
    <t>Erstatte vikaroppfølgingssystem i barnehagene</t>
  </si>
  <si>
    <t>Redusere omfang - ped.ledertillegg</t>
  </si>
  <si>
    <t>Endringer i barnehagestrukturen</t>
  </si>
  <si>
    <t>Lønns- og prisvekst</t>
  </si>
  <si>
    <t>Kontrollert 15.05.2023</t>
  </si>
  <si>
    <t>1. tert: Endret strømforutsetning</t>
  </si>
  <si>
    <t>1. tert Reversere kons Noahs ark</t>
  </si>
  <si>
    <t>1. tert Økning med 4,5 små og 21 store plasser</t>
  </si>
  <si>
    <t>RNB: Endret deflator 2022 fra 5,3% til 6,7%</t>
  </si>
  <si>
    <t>RNB: Endret deflator 2023 fra 3,7% til 5,2%</t>
  </si>
  <si>
    <t>RNB: Økt prisvekst, endret konsekv makspris</t>
  </si>
  <si>
    <t>Endret lønnsvekst fra 4,5% til 4,9%</t>
  </si>
  <si>
    <t>Deflator 2023 til 4,5% og 2024 til 4,3%</t>
  </si>
  <si>
    <t>Økte kapiatlsatser</t>
  </si>
  <si>
    <t>Makspris 2000 kr per md fom aug-24</t>
  </si>
  <si>
    <t>Endret pensjonsutrekk (aga av pensjon)</t>
  </si>
  <si>
    <t>Innsparingstiltak opptrapping red pedledertillegg</t>
  </si>
  <si>
    <t>Endret behov etter regnskap 2022</t>
  </si>
  <si>
    <t>Økonomiplan 2024-2027</t>
  </si>
  <si>
    <t>Fremskr. 2025</t>
  </si>
  <si>
    <t>Tidligere vedtatte tiltak :</t>
  </si>
  <si>
    <t>Delsum kontollert mot Framsikt 01.03.2024</t>
  </si>
  <si>
    <t>Endret antall barn  (-23,07 og -16,82)</t>
  </si>
  <si>
    <t>Tilskudd 2024, videreført</t>
  </si>
  <si>
    <t>sum</t>
  </si>
  <si>
    <t>Vedtak-24</t>
  </si>
  <si>
    <t>Lønns- og prisvekst 4%</t>
  </si>
  <si>
    <t xml:space="preserve">Rammesak; Redusert kostnad i kom bhg i 2023 </t>
  </si>
  <si>
    <t>Rammesag; Reduksjon med 50 ekvivalenter fra 2024 til 2025</t>
  </si>
  <si>
    <t>Framsikt den 28.08.2024</t>
  </si>
  <si>
    <t xml:space="preserve">Antall barn 15/12 anslag 03.09 </t>
  </si>
  <si>
    <t>kopi siste år i perioden</t>
  </si>
  <si>
    <t>Framsikt 10.10.2024, inkl P-1099 kr 468 og P-1716 -312 øk til 512</t>
  </si>
  <si>
    <t>Lønnsvekst 4-&gt;4,5%</t>
  </si>
  <si>
    <t>Makspris nom</t>
  </si>
  <si>
    <t>Åpen bhg (TM-forskning)</t>
  </si>
  <si>
    <t>Kapitalsats (TM-forskning)</t>
  </si>
  <si>
    <t>Endret deflator 2023-&gt;2024 fra 4,3 til 4,4%</t>
  </si>
  <si>
    <t>Endret deflator 2024-&gt;2025 fra 3,5 til 4,1%</t>
  </si>
  <si>
    <t xml:space="preserve">Fra lønnsvekst til kommunal deflator 4,5-&gt;4,1% </t>
  </si>
  <si>
    <t>Økonomiplan 2025-2028</t>
  </si>
  <si>
    <t>Fremskr. 2026</t>
  </si>
  <si>
    <t>Tidligere vedtatte tiltak</t>
  </si>
  <si>
    <t>effekt høy strøm i 2022</t>
  </si>
  <si>
    <t>omfang pedledere i kom bhg</t>
  </si>
  <si>
    <t xml:space="preserve">endr lønnsvekst </t>
  </si>
  <si>
    <t>endr forutsetning strøm</t>
  </si>
  <si>
    <t>Lønnsvekst 3,9%</t>
  </si>
  <si>
    <t>avrunding</t>
  </si>
  <si>
    <t>Delsum kontrollert mot Framsikt per 07.05.2025</t>
  </si>
  <si>
    <t>1. tert Endret barnetall 15.12.2024 +4,82 små og -2 store</t>
  </si>
  <si>
    <t>Kathrines Have avviklet drift 31.07.2025</t>
  </si>
  <si>
    <t>2. tert Konsekvens av redusert makspris fra 2000 til 1200 fom 01.08.2025</t>
  </si>
  <si>
    <t>Tilskudd til private barnehager - endret grunnlag fra R-2023 til R2024</t>
  </si>
  <si>
    <t>Innsparing: Legge ned Vardenlia og Ringkollen barnehager - flytte til Ormestad</t>
  </si>
  <si>
    <t>Delsum kontrollert mot Framsikt per 07.10.2025</t>
  </si>
  <si>
    <t>Vedtak-25</t>
  </si>
  <si>
    <t>Sommeråpne kommunale barnehager i 2023, avsatt fond kto 2 56 080 025</t>
  </si>
  <si>
    <t>Endring barnetall (ikke endret budsjett)</t>
  </si>
  <si>
    <t>Statsbudsjettet:</t>
  </si>
  <si>
    <t>Endret deflator 24-&gt;25 fra 4,1% til 4%</t>
  </si>
  <si>
    <t>Reversert deflator makspris ville utgjort</t>
  </si>
  <si>
    <t>Forventet endring kapitaltilskudd</t>
  </si>
  <si>
    <t>Endret nasjonal sats åpen bhg (40 x 1000)</t>
  </si>
  <si>
    <t>Økonomiplan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</si>
</sst>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kr&quot;* #,##0_);_(&quot;kr&quot;* \(#,##0\);_(&quot;kr&quot;* &quot;-&quot;_);_(@_)"/>
    <numFmt numFmtId="166" formatCode="_(&quot;kr&quot;* #,##0.00_);_(&quot;kr&quot;* \(#,##0.00\);_(&quot;kr&quot;* &quot;-&quot;??_);_(@_)"/>
    <numFmt numFmtId="167" formatCode="_(* #,##0_);_(* \(#,##0\);_(* &quot;-&quot;??_);_(@_)"/>
    <numFmt numFmtId="168" formatCode="0.0\ %"/>
    <numFmt numFmtId="169" formatCode="d/m/yy;@"/>
    <numFmt numFmtId="170" formatCode="0.0000"/>
    <numFmt numFmtId="171" formatCode="_ * #,##0_ ;_ * \-#,##0_ ;_ * &quot;-&quot;?_ ;_ @_ "/>
    <numFmt numFmtId="172" formatCode="0.000"/>
    <numFmt numFmtId="173" formatCode="_(* #,##0.000_);_(* \(#,##0.000\);_(* &quot;-&quot;??_);_(@_)"/>
    <numFmt numFmtId="174" formatCode="###,###,###,##0"/>
    <numFmt numFmtId="175" formatCode="_-* #,##0_-;\-* #,##0_-;_-* &quot;-&quot;??_-;_-@_-"/>
    <numFmt numFmtId="176" formatCode="_(* #,##0.0000_);_(* \(#,##0.0000\);_(* &quot;-&quot;??_);_(@_)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32"/>
      <name val="Cambria"/>
      <family val="1"/>
    </font>
    <font>
      <b/>
      <sz val="2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9"/>
      <color theme="7" tint="0.3999755851924192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  <font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sz val="10"/>
      <name val="Arial Rounded MT Bold"/>
      <family val="2"/>
    </font>
    <font>
      <sz val="11"/>
      <color theme="0" tint="-0.249977111117893"/>
      <name val="Calibri"/>
      <family val="2"/>
      <scheme val="minor"/>
    </font>
    <font>
      <sz val="9"/>
      <color theme="0" tint="-0.249977111117893"/>
      <name val="Times New Roman"/>
      <family val="1"/>
    </font>
    <font>
      <sz val="11"/>
      <color theme="0" tint="-0.249977111117893"/>
      <name val="Times New Roman"/>
      <family val="1"/>
    </font>
    <font>
      <b/>
      <sz val="11"/>
      <color theme="0" tint="-0.249977111117893"/>
      <name val="Times New Roman"/>
      <family val="1"/>
    </font>
    <font>
      <b/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30" fillId="0" borderId="0"/>
    <xf numFmtId="41" fontId="3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8" borderId="31" applyNumberFormat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26" fillId="0" borderId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41" fillId="0" borderId="0"/>
    <xf numFmtId="0" fontId="5" fillId="0" borderId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0" fillId="0" borderId="0"/>
    <xf numFmtId="0" fontId="4" fillId="0" borderId="0"/>
    <xf numFmtId="0" fontId="44" fillId="0" borderId="0"/>
    <xf numFmtId="43" fontId="1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6" fillId="0" borderId="0"/>
    <xf numFmtId="0" fontId="2" fillId="0" borderId="0"/>
    <xf numFmtId="164" fontId="16" fillId="0" borderId="0" applyFont="0" applyFill="0" applyBorder="0" applyAlignment="0" applyProtection="0"/>
    <xf numFmtId="0" fontId="16" fillId="0" borderId="0"/>
  </cellStyleXfs>
  <cellXfs count="280">
    <xf numFmtId="0" fontId="0" fillId="0" borderId="0" xfId="0"/>
    <xf numFmtId="3" fontId="0" fillId="0" borderId="0" xfId="0" applyNumberFormat="1"/>
    <xf numFmtId="0" fontId="16" fillId="0" borderId="0" xfId="0" applyFont="1"/>
    <xf numFmtId="3" fontId="0" fillId="0" borderId="3" xfId="0" applyNumberFormat="1" applyBorder="1"/>
    <xf numFmtId="3" fontId="0" fillId="0" borderId="0" xfId="0" applyNumberFormat="1" applyAlignment="1">
      <alignment horizontal="right"/>
    </xf>
    <xf numFmtId="9" fontId="0" fillId="0" borderId="0" xfId="0" applyNumberFormat="1"/>
    <xf numFmtId="0" fontId="21" fillId="2" borderId="1" xfId="0" applyFont="1" applyFill="1" applyBorder="1" applyAlignment="1">
      <alignment horizontal="left"/>
    </xf>
    <xf numFmtId="3" fontId="0" fillId="3" borderId="5" xfId="0" applyNumberFormat="1" applyFill="1" applyBorder="1"/>
    <xf numFmtId="4" fontId="0" fillId="3" borderId="6" xfId="0" applyNumberFormat="1" applyFill="1" applyBorder="1"/>
    <xf numFmtId="0" fontId="16" fillId="2" borderId="9" xfId="0" applyFont="1" applyFill="1" applyBorder="1"/>
    <xf numFmtId="3" fontId="16" fillId="0" borderId="1" xfId="0" applyNumberFormat="1" applyFont="1" applyBorder="1"/>
    <xf numFmtId="0" fontId="0" fillId="4" borderId="0" xfId="0" applyFill="1"/>
    <xf numFmtId="0" fontId="16" fillId="4" borderId="1" xfId="0" applyFont="1" applyFill="1" applyBorder="1"/>
    <xf numFmtId="0" fontId="0" fillId="4" borderId="8" xfId="0" applyFill="1" applyBorder="1"/>
    <xf numFmtId="0" fontId="16" fillId="4" borderId="0" xfId="0" applyFont="1" applyFill="1"/>
    <xf numFmtId="0" fontId="16" fillId="4" borderId="10" xfId="0" applyFont="1" applyFill="1" applyBorder="1"/>
    <xf numFmtId="0" fontId="17" fillId="4" borderId="0" xfId="0" applyFont="1" applyFill="1" applyAlignment="1">
      <alignment horizontal="center"/>
    </xf>
    <xf numFmtId="0" fontId="16" fillId="4" borderId="10" xfId="0" applyFont="1" applyFill="1" applyBorder="1" applyAlignment="1">
      <alignment wrapText="1"/>
    </xf>
    <xf numFmtId="3" fontId="16" fillId="4" borderId="0" xfId="0" applyNumberFormat="1" applyFont="1" applyFill="1" applyAlignment="1">
      <alignment horizontal="right"/>
    </xf>
    <xf numFmtId="3" fontId="16" fillId="4" borderId="0" xfId="0" applyNumberFormat="1" applyFont="1" applyFill="1"/>
    <xf numFmtId="3" fontId="22" fillId="4" borderId="0" xfId="0" applyNumberFormat="1" applyFont="1" applyFill="1"/>
    <xf numFmtId="0" fontId="16" fillId="4" borderId="12" xfId="0" applyFont="1" applyFill="1" applyBorder="1"/>
    <xf numFmtId="0" fontId="16" fillId="4" borderId="7" xfId="0" applyFont="1" applyFill="1" applyBorder="1" applyAlignment="1">
      <alignment wrapText="1"/>
    </xf>
    <xf numFmtId="0" fontId="16" fillId="4" borderId="0" xfId="0" applyFont="1" applyFill="1" applyAlignment="1">
      <alignment horizontal="center" wrapText="1"/>
    </xf>
    <xf numFmtId="3" fontId="16" fillId="4" borderId="7" xfId="0" applyNumberFormat="1" applyFont="1" applyFill="1" applyBorder="1"/>
    <xf numFmtId="0" fontId="16" fillId="4" borderId="14" xfId="0" applyFont="1" applyFill="1" applyBorder="1"/>
    <xf numFmtId="3" fontId="16" fillId="4" borderId="13" xfId="0" applyNumberFormat="1" applyFont="1" applyFill="1" applyBorder="1" applyAlignment="1">
      <alignment horizontal="right"/>
    </xf>
    <xf numFmtId="0" fontId="16" fillId="4" borderId="8" xfId="0" applyFont="1" applyFill="1" applyBorder="1"/>
    <xf numFmtId="3" fontId="0" fillId="4" borderId="8" xfId="0" applyNumberFormat="1" applyFill="1" applyBorder="1"/>
    <xf numFmtId="0" fontId="16" fillId="4" borderId="1" xfId="0" applyFont="1" applyFill="1" applyBorder="1" applyAlignment="1">
      <alignment wrapText="1"/>
    </xf>
    <xf numFmtId="0" fontId="17" fillId="4" borderId="0" xfId="0" applyFont="1" applyFill="1"/>
    <xf numFmtId="0" fontId="17" fillId="4" borderId="1" xfId="0" applyFont="1" applyFill="1" applyBorder="1"/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3" fontId="16" fillId="4" borderId="1" xfId="0" applyNumberFormat="1" applyFont="1" applyFill="1" applyBorder="1"/>
    <xf numFmtId="4" fontId="16" fillId="4" borderId="15" xfId="0" applyNumberFormat="1" applyFont="1" applyFill="1" applyBorder="1"/>
    <xf numFmtId="4" fontId="16" fillId="4" borderId="4" xfId="0" applyNumberFormat="1" applyFont="1" applyFill="1" applyBorder="1"/>
    <xf numFmtId="4" fontId="16" fillId="4" borderId="6" xfId="0" applyNumberFormat="1" applyFont="1" applyFill="1" applyBorder="1"/>
    <xf numFmtId="4" fontId="16" fillId="4" borderId="1" xfId="0" applyNumberFormat="1" applyFont="1" applyFill="1" applyBorder="1"/>
    <xf numFmtId="10" fontId="16" fillId="4" borderId="1" xfId="0" applyNumberFormat="1" applyFont="1" applyFill="1" applyBorder="1"/>
    <xf numFmtId="0" fontId="0" fillId="2" borderId="8" xfId="0" applyFill="1" applyBorder="1"/>
    <xf numFmtId="167" fontId="0" fillId="0" borderId="1" xfId="13" applyNumberFormat="1" applyFont="1" applyBorder="1"/>
    <xf numFmtId="169" fontId="0" fillId="2" borderId="1" xfId="0" applyNumberFormat="1" applyFill="1" applyBorder="1" applyAlignment="1">
      <alignment horizontal="left"/>
    </xf>
    <xf numFmtId="0" fontId="23" fillId="4" borderId="0" xfId="0" applyFont="1" applyFill="1"/>
    <xf numFmtId="0" fontId="17" fillId="4" borderId="16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16" fillId="4" borderId="19" xfId="0" applyFont="1" applyFill="1" applyBorder="1"/>
    <xf numFmtId="0" fontId="24" fillId="4" borderId="0" xfId="0" quotePrefix="1" applyFont="1" applyFill="1"/>
    <xf numFmtId="167" fontId="16" fillId="0" borderId="0" xfId="13" applyNumberFormat="1" applyFont="1" applyFill="1"/>
    <xf numFmtId="0" fontId="16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17" fillId="4" borderId="18" xfId="0" applyFont="1" applyFill="1" applyBorder="1"/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10" fontId="17" fillId="0" borderId="1" xfId="0" applyNumberFormat="1" applyFont="1" applyBorder="1" applyAlignment="1">
      <alignment horizontal="left"/>
    </xf>
    <xf numFmtId="4" fontId="17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167" fontId="16" fillId="0" borderId="0" xfId="13" applyNumberFormat="1" applyFont="1"/>
    <xf numFmtId="4" fontId="0" fillId="4" borderId="1" xfId="0" applyNumberFormat="1" applyFill="1" applyBorder="1"/>
    <xf numFmtId="167" fontId="0" fillId="4" borderId="1" xfId="13" applyNumberFormat="1" applyFont="1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43" fontId="0" fillId="0" borderId="0" xfId="13" applyFont="1"/>
    <xf numFmtId="0" fontId="0" fillId="0" borderId="0" xfId="0" applyAlignment="1">
      <alignment horizontal="right"/>
    </xf>
    <xf numFmtId="43" fontId="0" fillId="0" borderId="0" xfId="13" applyFont="1" applyAlignment="1">
      <alignment horizontal="right"/>
    </xf>
    <xf numFmtId="167" fontId="17" fillId="4" borderId="1" xfId="13" applyNumberFormat="1" applyFont="1" applyFill="1" applyBorder="1"/>
    <xf numFmtId="167" fontId="0" fillId="0" borderId="0" xfId="13" applyNumberFormat="1" applyFont="1"/>
    <xf numFmtId="4" fontId="16" fillId="0" borderId="1" xfId="0" applyNumberFormat="1" applyFont="1" applyBorder="1" applyAlignment="1">
      <alignment horizontal="right" indent="1"/>
    </xf>
    <xf numFmtId="0" fontId="16" fillId="4" borderId="0" xfId="0" applyFont="1" applyFill="1" applyAlignment="1">
      <alignment horizontal="right"/>
    </xf>
    <xf numFmtId="167" fontId="0" fillId="2" borderId="3" xfId="13" applyNumberFormat="1" applyFont="1" applyFill="1" applyBorder="1"/>
    <xf numFmtId="167" fontId="0" fillId="2" borderId="1" xfId="13" applyNumberFormat="1" applyFont="1" applyFill="1" applyBorder="1"/>
    <xf numFmtId="167" fontId="0" fillId="0" borderId="3" xfId="13" applyNumberFormat="1" applyFont="1" applyBorder="1"/>
    <xf numFmtId="167" fontId="0" fillId="0" borderId="4" xfId="13" applyNumberFormat="1" applyFont="1" applyBorder="1"/>
    <xf numFmtId="167" fontId="16" fillId="0" borderId="1" xfId="13" applyNumberFormat="1" applyFont="1" applyFill="1" applyBorder="1"/>
    <xf numFmtId="170" fontId="16" fillId="0" borderId="0" xfId="0" applyNumberFormat="1" applyFont="1" applyAlignment="1">
      <alignment horizontal="center"/>
    </xf>
    <xf numFmtId="0" fontId="17" fillId="0" borderId="0" xfId="0" applyFont="1"/>
    <xf numFmtId="167" fontId="0" fillId="0" borderId="0" xfId="13" applyNumberFormat="1" applyFont="1" applyBorder="1"/>
    <xf numFmtId="167" fontId="0" fillId="0" borderId="0" xfId="13" applyNumberFormat="1" applyFont="1" applyFill="1" applyBorder="1"/>
    <xf numFmtId="0" fontId="17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0" fillId="4" borderId="16" xfId="0" applyFill="1" applyBorder="1"/>
    <xf numFmtId="0" fontId="0" fillId="4" borderId="1" xfId="0" applyFill="1" applyBorder="1"/>
    <xf numFmtId="0" fontId="27" fillId="4" borderId="18" xfId="0" applyFont="1" applyFill="1" applyBorder="1"/>
    <xf numFmtId="168" fontId="0" fillId="2" borderId="8" xfId="0" applyNumberFormat="1" applyFill="1" applyBorder="1"/>
    <xf numFmtId="0" fontId="32" fillId="0" borderId="1" xfId="25" applyFont="1" applyBorder="1"/>
    <xf numFmtId="0" fontId="16" fillId="9" borderId="11" xfId="0" applyFont="1" applyFill="1" applyBorder="1"/>
    <xf numFmtId="0" fontId="34" fillId="0" borderId="0" xfId="0" applyFont="1"/>
    <xf numFmtId="167" fontId="16" fillId="0" borderId="0" xfId="13" applyNumberFormat="1" applyFont="1" applyFill="1" applyBorder="1"/>
    <xf numFmtId="0" fontId="16" fillId="0" borderId="1" xfId="0" applyFont="1" applyBorder="1" applyAlignment="1">
      <alignment horizontal="left"/>
    </xf>
    <xf numFmtId="3" fontId="0" fillId="0" borderId="1" xfId="0" applyNumberFormat="1" applyBorder="1"/>
    <xf numFmtId="167" fontId="0" fillId="0" borderId="1" xfId="13" applyNumberFormat="1" applyFont="1" applyFill="1" applyBorder="1"/>
    <xf numFmtId="171" fontId="0" fillId="0" borderId="1" xfId="0" applyNumberFormat="1" applyBorder="1"/>
    <xf numFmtId="0" fontId="8" fillId="0" borderId="0" xfId="26"/>
    <xf numFmtId="0" fontId="31" fillId="10" borderId="1" xfId="24" applyFill="1" applyBorder="1"/>
    <xf numFmtId="0" fontId="31" fillId="10" borderId="1" xfId="24" applyFill="1" applyBorder="1" applyAlignment="1">
      <alignment horizontal="center" vertical="center"/>
    </xf>
    <xf numFmtId="0" fontId="8" fillId="0" borderId="1" xfId="26" applyBorder="1"/>
    <xf numFmtId="0" fontId="8" fillId="0" borderId="1" xfId="26" applyBorder="1" applyAlignment="1">
      <alignment horizontal="center"/>
    </xf>
    <xf numFmtId="0" fontId="33" fillId="10" borderId="1" xfId="26" applyFont="1" applyFill="1" applyBorder="1"/>
    <xf numFmtId="0" fontId="8" fillId="10" borderId="1" xfId="26" applyFill="1" applyBorder="1"/>
    <xf numFmtId="167" fontId="0" fillId="0" borderId="3" xfId="13" applyNumberFormat="1" applyFont="1" applyFill="1" applyBorder="1"/>
    <xf numFmtId="167" fontId="0" fillId="0" borderId="2" xfId="13" applyNumberFormat="1" applyFont="1" applyFill="1" applyBorder="1"/>
    <xf numFmtId="167" fontId="16" fillId="5" borderId="1" xfId="13" applyNumberFormat="1" applyFont="1" applyFill="1" applyBorder="1"/>
    <xf numFmtId="0" fontId="16" fillId="5" borderId="0" xfId="0" applyFont="1" applyFill="1"/>
    <xf numFmtId="2" fontId="16" fillId="5" borderId="0" xfId="0" applyNumberFormat="1" applyFont="1" applyFill="1"/>
    <xf numFmtId="167" fontId="16" fillId="5" borderId="0" xfId="0" applyNumberFormat="1" applyFont="1" applyFill="1"/>
    <xf numFmtId="43" fontId="35" fillId="0" borderId="0" xfId="13" applyFont="1" applyAlignment="1">
      <alignment horizontal="right"/>
    </xf>
    <xf numFmtId="167" fontId="17" fillId="4" borderId="1" xfId="0" applyNumberFormat="1" applyFont="1" applyFill="1" applyBorder="1"/>
    <xf numFmtId="167" fontId="0" fillId="0" borderId="0" xfId="0" applyNumberFormat="1"/>
    <xf numFmtId="9" fontId="0" fillId="0" borderId="0" xfId="12" applyFont="1"/>
    <xf numFmtId="167" fontId="17" fillId="0" borderId="1" xfId="13" applyNumberFormat="1" applyFont="1" applyFill="1" applyBorder="1" applyAlignment="1">
      <alignment horizontal="center" vertical="center" wrapText="1"/>
    </xf>
    <xf numFmtId="0" fontId="33" fillId="11" borderId="0" xfId="0" applyFont="1" applyFill="1"/>
    <xf numFmtId="0" fontId="33" fillId="0" borderId="0" xfId="0" applyFont="1"/>
    <xf numFmtId="49" fontId="0" fillId="0" borderId="0" xfId="0" applyNumberFormat="1" applyAlignment="1">
      <alignment horizontal="right"/>
    </xf>
    <xf numFmtId="4" fontId="0" fillId="0" borderId="0" xfId="0" applyNumberFormat="1"/>
    <xf numFmtId="43" fontId="35" fillId="0" borderId="0" xfId="13" applyFont="1" applyFill="1" applyAlignment="1">
      <alignment horizontal="right"/>
    </xf>
    <xf numFmtId="3" fontId="0" fillId="0" borderId="8" xfId="0" applyNumberFormat="1" applyBorder="1"/>
    <xf numFmtId="4" fontId="0" fillId="0" borderId="8" xfId="0" applyNumberFormat="1" applyBorder="1"/>
    <xf numFmtId="4" fontId="0" fillId="12" borderId="1" xfId="13" applyNumberFormat="1" applyFont="1" applyFill="1" applyBorder="1"/>
    <xf numFmtId="43" fontId="39" fillId="0" borderId="0" xfId="13" applyFont="1"/>
    <xf numFmtId="3" fontId="16" fillId="5" borderId="0" xfId="0" applyNumberFormat="1" applyFont="1" applyFill="1"/>
    <xf numFmtId="0" fontId="32" fillId="12" borderId="1" xfId="25" applyFont="1" applyFill="1" applyBorder="1"/>
    <xf numFmtId="0" fontId="9" fillId="12" borderId="1" xfId="25" applyFill="1" applyBorder="1"/>
    <xf numFmtId="0" fontId="0" fillId="5" borderId="1" xfId="0" applyFill="1" applyBorder="1"/>
    <xf numFmtId="3" fontId="0" fillId="0" borderId="7" xfId="0" applyNumberFormat="1" applyBorder="1"/>
    <xf numFmtId="0" fontId="17" fillId="4" borderId="2" xfId="0" applyFont="1" applyFill="1" applyBorder="1" applyAlignment="1">
      <alignment horizontal="center"/>
    </xf>
    <xf numFmtId="43" fontId="39" fillId="0" borderId="0" xfId="0" applyNumberFormat="1" applyFont="1"/>
    <xf numFmtId="167" fontId="42" fillId="4" borderId="0" xfId="13" applyNumberFormat="1" applyFont="1" applyFill="1"/>
    <xf numFmtId="167" fontId="42" fillId="4" borderId="0" xfId="13" applyNumberFormat="1" applyFont="1" applyFill="1" applyAlignment="1">
      <alignment horizontal="center"/>
    </xf>
    <xf numFmtId="167" fontId="42" fillId="4" borderId="0" xfId="13" applyNumberFormat="1" applyFont="1" applyFill="1" applyAlignment="1">
      <alignment horizontal="center" wrapText="1"/>
    </xf>
    <xf numFmtId="167" fontId="42" fillId="4" borderId="0" xfId="13" applyNumberFormat="1" applyFont="1" applyFill="1" applyAlignment="1">
      <alignment horizontal="right"/>
    </xf>
    <xf numFmtId="164" fontId="0" fillId="0" borderId="0" xfId="0" applyNumberFormat="1"/>
    <xf numFmtId="170" fontId="17" fillId="0" borderId="0" xfId="0" applyNumberFormat="1" applyFont="1" applyAlignment="1">
      <alignment horizontal="center"/>
    </xf>
    <xf numFmtId="0" fontId="16" fillId="7" borderId="0" xfId="0" applyFont="1" applyFill="1" applyAlignment="1">
      <alignment horizontal="center" wrapText="1"/>
    </xf>
    <xf numFmtId="1" fontId="16" fillId="0" borderId="0" xfId="0" applyNumberFormat="1" applyFont="1" applyAlignment="1">
      <alignment horizontal="center"/>
    </xf>
    <xf numFmtId="10" fontId="8" fillId="0" borderId="0" xfId="26" applyNumberFormat="1"/>
    <xf numFmtId="0" fontId="15" fillId="13" borderId="0" xfId="14" applyFill="1"/>
    <xf numFmtId="0" fontId="33" fillId="13" borderId="0" xfId="14" applyFont="1" applyFill="1"/>
    <xf numFmtId="0" fontId="36" fillId="13" borderId="0" xfId="14" applyFont="1" applyFill="1"/>
    <xf numFmtId="0" fontId="36" fillId="13" borderId="1" xfId="14" applyFont="1" applyFill="1" applyBorder="1"/>
    <xf numFmtId="0" fontId="38" fillId="13" borderId="1" xfId="14" applyFont="1" applyFill="1" applyBorder="1" applyAlignment="1">
      <alignment horizontal="center"/>
    </xf>
    <xf numFmtId="3" fontId="36" fillId="13" borderId="0" xfId="14" applyNumberFormat="1" applyFont="1" applyFill="1"/>
    <xf numFmtId="0" fontId="15" fillId="13" borderId="0" xfId="14" applyFill="1" applyAlignment="1">
      <alignment wrapText="1"/>
    </xf>
    <xf numFmtId="3" fontId="36" fillId="0" borderId="1" xfId="14" applyNumberFormat="1" applyFont="1" applyBorder="1"/>
    <xf numFmtId="43" fontId="0" fillId="0" borderId="0" xfId="13" applyFont="1" applyFill="1"/>
    <xf numFmtId="168" fontId="35" fillId="0" borderId="0" xfId="12" applyNumberFormat="1" applyFont="1" applyFill="1" applyAlignment="1">
      <alignment horizontal="center" vertical="center"/>
    </xf>
    <xf numFmtId="172" fontId="15" fillId="13" borderId="0" xfId="14" applyNumberFormat="1" applyFill="1"/>
    <xf numFmtId="167" fontId="16" fillId="0" borderId="0" xfId="13" applyNumberFormat="1" applyFont="1" applyFill="1" applyAlignment="1">
      <alignment horizontal="right"/>
    </xf>
    <xf numFmtId="40" fontId="0" fillId="0" borderId="0" xfId="0" applyNumberFormat="1" applyAlignment="1">
      <alignment horizontal="right"/>
    </xf>
    <xf numFmtId="164" fontId="16" fillId="0" borderId="0" xfId="0" applyNumberFormat="1" applyFont="1"/>
    <xf numFmtId="167" fontId="16" fillId="6" borderId="1" xfId="0" applyNumberFormat="1" applyFont="1" applyFill="1" applyBorder="1"/>
    <xf numFmtId="49" fontId="45" fillId="0" borderId="0" xfId="0" applyNumberFormat="1" applyFont="1" applyAlignment="1">
      <alignment horizontal="left"/>
    </xf>
    <xf numFmtId="0" fontId="45" fillId="0" borderId="0" xfId="0" applyFont="1"/>
    <xf numFmtId="43" fontId="45" fillId="0" borderId="0" xfId="13" applyFont="1" applyFill="1" applyAlignment="1">
      <alignment horizontal="right"/>
    </xf>
    <xf numFmtId="49" fontId="45" fillId="5" borderId="0" xfId="0" applyNumberFormat="1" applyFont="1" applyFill="1" applyAlignment="1">
      <alignment horizontal="left"/>
    </xf>
    <xf numFmtId="167" fontId="0" fillId="0" borderId="4" xfId="13" applyNumberFormat="1" applyFont="1" applyFill="1" applyBorder="1"/>
    <xf numFmtId="1" fontId="8" fillId="0" borderId="0" xfId="26" applyNumberFormat="1"/>
    <xf numFmtId="167" fontId="17" fillId="0" borderId="1" xfId="13" applyNumberFormat="1" applyFont="1" applyFill="1" applyBorder="1" applyAlignment="1">
      <alignment vertical="center" wrapText="1"/>
    </xf>
    <xf numFmtId="167" fontId="17" fillId="0" borderId="1" xfId="13" applyNumberFormat="1" applyFont="1" applyBorder="1" applyAlignment="1">
      <alignment vertical="center" wrapText="1"/>
    </xf>
    <xf numFmtId="3" fontId="16" fillId="0" borderId="7" xfId="0" applyNumberFormat="1" applyFont="1" applyBorder="1"/>
    <xf numFmtId="0" fontId="47" fillId="4" borderId="0" xfId="0" applyFont="1" applyFill="1"/>
    <xf numFmtId="3" fontId="47" fillId="4" borderId="0" xfId="0" applyNumberFormat="1" applyFont="1" applyFill="1" applyAlignment="1">
      <alignment horizontal="right"/>
    </xf>
    <xf numFmtId="3" fontId="47" fillId="4" borderId="0" xfId="0" applyNumberFormat="1" applyFont="1" applyFill="1"/>
    <xf numFmtId="173" fontId="0" fillId="4" borderId="1" xfId="13" applyNumberFormat="1" applyFont="1" applyFill="1" applyBorder="1"/>
    <xf numFmtId="167" fontId="15" fillId="13" borderId="0" xfId="14" applyNumberFormat="1" applyFill="1"/>
    <xf numFmtId="0" fontId="49" fillId="13" borderId="0" xfId="0" applyFont="1" applyFill="1"/>
    <xf numFmtId="0" fontId="35" fillId="13" borderId="0" xfId="13" applyNumberFormat="1" applyFont="1" applyFill="1" applyAlignment="1">
      <alignment horizontal="center" vertical="center"/>
    </xf>
    <xf numFmtId="0" fontId="0" fillId="13" borderId="0" xfId="0" applyFill="1"/>
    <xf numFmtId="0" fontId="16" fillId="13" borderId="0" xfId="0" applyFont="1" applyFill="1"/>
    <xf numFmtId="3" fontId="0" fillId="13" borderId="0" xfId="13" applyNumberFormat="1" applyFont="1" applyFill="1"/>
    <xf numFmtId="0" fontId="0" fillId="13" borderId="0" xfId="0" applyFill="1" applyAlignment="1">
      <alignment horizontal="left"/>
    </xf>
    <xf numFmtId="3" fontId="0" fillId="13" borderId="0" xfId="0" applyNumberFormat="1" applyFill="1"/>
    <xf numFmtId="0" fontId="16" fillId="13" borderId="32" xfId="0" applyFont="1" applyFill="1" applyBorder="1"/>
    <xf numFmtId="3" fontId="0" fillId="13" borderId="32" xfId="13" applyNumberFormat="1" applyFont="1" applyFill="1" applyBorder="1"/>
    <xf numFmtId="3" fontId="16" fillId="13" borderId="0" xfId="0" applyNumberFormat="1" applyFont="1" applyFill="1"/>
    <xf numFmtId="0" fontId="0" fillId="13" borderId="9" xfId="0" applyFill="1" applyBorder="1" applyAlignment="1">
      <alignment horizontal="left"/>
    </xf>
    <xf numFmtId="3" fontId="0" fillId="13" borderId="9" xfId="0" applyNumberFormat="1" applyFill="1" applyBorder="1"/>
    <xf numFmtId="49" fontId="26" fillId="13" borderId="0" xfId="31" applyNumberFormat="1" applyFill="1" applyAlignment="1">
      <alignment horizontal="left"/>
    </xf>
    <xf numFmtId="0" fontId="0" fillId="13" borderId="19" xfId="0" applyFill="1" applyBorder="1" applyAlignment="1">
      <alignment horizontal="left"/>
    </xf>
    <xf numFmtId="3" fontId="0" fillId="13" borderId="19" xfId="0" applyNumberFormat="1" applyFill="1" applyBorder="1"/>
    <xf numFmtId="49" fontId="0" fillId="13" borderId="19" xfId="0" applyNumberFormat="1" applyFill="1" applyBorder="1" applyAlignment="1">
      <alignment horizontal="left"/>
    </xf>
    <xf numFmtId="0" fontId="0" fillId="13" borderId="19" xfId="0" applyFill="1" applyBorder="1"/>
    <xf numFmtId="49" fontId="0" fillId="13" borderId="0" xfId="0" applyNumberFormat="1" applyFill="1" applyAlignment="1">
      <alignment horizontal="left"/>
    </xf>
    <xf numFmtId="49" fontId="16" fillId="13" borderId="0" xfId="0" applyNumberFormat="1" applyFont="1" applyFill="1" applyAlignment="1">
      <alignment horizontal="left"/>
    </xf>
    <xf numFmtId="0" fontId="50" fillId="13" borderId="0" xfId="0" applyFont="1" applyFill="1"/>
    <xf numFmtId="3" fontId="16" fillId="13" borderId="19" xfId="0" applyNumberFormat="1" applyFont="1" applyFill="1" applyBorder="1"/>
    <xf numFmtId="3" fontId="0" fillId="15" borderId="0" xfId="0" applyNumberFormat="1" applyFill="1"/>
    <xf numFmtId="0" fontId="16" fillId="13" borderId="0" xfId="0" applyFont="1" applyFill="1" applyAlignment="1">
      <alignment horizontal="left"/>
    </xf>
    <xf numFmtId="3" fontId="0" fillId="13" borderId="0" xfId="13" applyNumberFormat="1" applyFont="1" applyFill="1" applyBorder="1"/>
    <xf numFmtId="49" fontId="0" fillId="0" borderId="0" xfId="0" applyNumberFormat="1"/>
    <xf numFmtId="0" fontId="16" fillId="14" borderId="0" xfId="0" applyFont="1" applyFill="1" applyAlignment="1">
      <alignment horizontal="left"/>
    </xf>
    <xf numFmtId="0" fontId="0" fillId="14" borderId="0" xfId="0" applyFill="1"/>
    <xf numFmtId="3" fontId="0" fillId="14" borderId="0" xfId="0" applyNumberFormat="1" applyFill="1"/>
    <xf numFmtId="167" fontId="16" fillId="16" borderId="1" xfId="13" applyNumberFormat="1" applyFont="1" applyFill="1" applyBorder="1"/>
    <xf numFmtId="167" fontId="16" fillId="0" borderId="0" xfId="13" applyNumberFormat="1" applyFont="1" applyAlignment="1">
      <alignment horizontal="center"/>
    </xf>
    <xf numFmtId="167" fontId="16" fillId="0" borderId="0" xfId="0" applyNumberFormat="1" applyFont="1"/>
    <xf numFmtId="0" fontId="32" fillId="5" borderId="1" xfId="25" applyFont="1" applyFill="1" applyBorder="1"/>
    <xf numFmtId="3" fontId="48" fillId="0" borderId="7" xfId="0" applyNumberFormat="1" applyFont="1" applyBorder="1"/>
    <xf numFmtId="0" fontId="8" fillId="5" borderId="1" xfId="26" applyFill="1" applyBorder="1"/>
    <xf numFmtId="0" fontId="16" fillId="14" borderId="0" xfId="0" applyFont="1" applyFill="1"/>
    <xf numFmtId="3" fontId="16" fillId="0" borderId="19" xfId="0" applyNumberFormat="1" applyFont="1" applyBorder="1"/>
    <xf numFmtId="174" fontId="0" fillId="13" borderId="0" xfId="0" applyNumberFormat="1" applyFill="1"/>
    <xf numFmtId="4" fontId="0" fillId="5" borderId="1" xfId="13" applyNumberFormat="1" applyFont="1" applyFill="1" applyBorder="1"/>
    <xf numFmtId="0" fontId="0" fillId="5" borderId="0" xfId="0" applyFill="1"/>
    <xf numFmtId="3" fontId="0" fillId="5" borderId="0" xfId="0" applyNumberFormat="1" applyFill="1"/>
    <xf numFmtId="3" fontId="16" fillId="15" borderId="0" xfId="0" applyNumberFormat="1" applyFont="1" applyFill="1"/>
    <xf numFmtId="0" fontId="0" fillId="16" borderId="0" xfId="0" applyFill="1"/>
    <xf numFmtId="3" fontId="0" fillId="16" borderId="0" xfId="0" applyNumberFormat="1" applyFill="1"/>
    <xf numFmtId="3" fontId="36" fillId="16" borderId="1" xfId="14" applyNumberFormat="1" applyFont="1" applyFill="1" applyBorder="1"/>
    <xf numFmtId="1" fontId="0" fillId="0" borderId="1" xfId="13" applyNumberFormat="1" applyFont="1" applyFill="1" applyBorder="1"/>
    <xf numFmtId="0" fontId="52" fillId="13" borderId="1" xfId="14" applyFont="1" applyFill="1" applyBorder="1" applyAlignment="1">
      <alignment horizontal="center"/>
    </xf>
    <xf numFmtId="3" fontId="53" fillId="0" borderId="1" xfId="14" applyNumberFormat="1" applyFont="1" applyBorder="1"/>
    <xf numFmtId="3" fontId="53" fillId="13" borderId="1" xfId="14" applyNumberFormat="1" applyFont="1" applyFill="1" applyBorder="1"/>
    <xf numFmtId="0" fontId="51" fillId="13" borderId="1" xfId="14" applyFont="1" applyFill="1" applyBorder="1" applyAlignment="1">
      <alignment horizontal="center"/>
    </xf>
    <xf numFmtId="0" fontId="51" fillId="13" borderId="0" xfId="14" applyFont="1" applyFill="1"/>
    <xf numFmtId="0" fontId="52" fillId="13" borderId="0" xfId="14" applyFont="1" applyFill="1"/>
    <xf numFmtId="0" fontId="16" fillId="6" borderId="1" xfId="0" applyFont="1" applyFill="1" applyBorder="1" applyAlignment="1">
      <alignment horizontal="left"/>
    </xf>
    <xf numFmtId="43" fontId="16" fillId="6" borderId="1" xfId="13" applyFont="1" applyFill="1" applyBorder="1" applyAlignment="1">
      <alignment horizontal="center"/>
    </xf>
    <xf numFmtId="167" fontId="16" fillId="0" borderId="1" xfId="0" applyNumberFormat="1" applyFont="1" applyBorder="1"/>
    <xf numFmtId="0" fontId="55" fillId="0" borderId="0" xfId="0" applyFont="1" applyAlignment="1">
      <alignment vertical="center"/>
    </xf>
    <xf numFmtId="175" fontId="16" fillId="0" borderId="0" xfId="0" applyNumberFormat="1" applyFont="1"/>
    <xf numFmtId="3" fontId="0" fillId="0" borderId="7" xfId="0" applyNumberFormat="1" applyBorder="1" applyAlignment="1">
      <alignment horizontal="right"/>
    </xf>
    <xf numFmtId="3" fontId="16" fillId="0" borderId="7" xfId="0" applyNumberFormat="1" applyFont="1" applyBorder="1" applyAlignment="1">
      <alignment horizontal="right"/>
    </xf>
    <xf numFmtId="3" fontId="0" fillId="0" borderId="10" xfId="0" applyNumberFormat="1" applyBorder="1"/>
    <xf numFmtId="49" fontId="45" fillId="14" borderId="0" xfId="0" applyNumberFormat="1" applyFont="1" applyFill="1" applyAlignment="1">
      <alignment horizontal="left"/>
    </xf>
    <xf numFmtId="49" fontId="0" fillId="5" borderId="0" xfId="0" applyNumberFormat="1" applyFill="1" applyAlignment="1">
      <alignment horizontal="right"/>
    </xf>
    <xf numFmtId="43" fontId="0" fillId="5" borderId="0" xfId="13" applyFont="1" applyFill="1"/>
    <xf numFmtId="4" fontId="0" fillId="5" borderId="0" xfId="0" applyNumberFormat="1" applyFill="1"/>
    <xf numFmtId="9" fontId="0" fillId="15" borderId="0" xfId="12" applyFont="1" applyFill="1"/>
    <xf numFmtId="9" fontId="0" fillId="16" borderId="0" xfId="12" applyFont="1" applyFill="1"/>
    <xf numFmtId="4" fontId="0" fillId="16" borderId="0" xfId="0" applyNumberFormat="1" applyFill="1"/>
    <xf numFmtId="167" fontId="48" fillId="0" borderId="0" xfId="0" applyNumberFormat="1" applyFont="1"/>
    <xf numFmtId="0" fontId="16" fillId="16" borderId="0" xfId="0" applyFont="1" applyFill="1"/>
    <xf numFmtId="0" fontId="16" fillId="14" borderId="32" xfId="0" applyFont="1" applyFill="1" applyBorder="1"/>
    <xf numFmtId="3" fontId="0" fillId="14" borderId="32" xfId="13" applyNumberFormat="1" applyFont="1" applyFill="1" applyBorder="1"/>
    <xf numFmtId="43" fontId="16" fillId="0" borderId="0" xfId="13" applyFont="1" applyAlignment="1">
      <alignment horizontal="center"/>
    </xf>
    <xf numFmtId="2" fontId="16" fillId="0" borderId="0" xfId="0" applyNumberFormat="1" applyFont="1" applyAlignment="1">
      <alignment horizontal="right"/>
    </xf>
    <xf numFmtId="167" fontId="16" fillId="17" borderId="0" xfId="0" applyNumberFormat="1" applyFont="1" applyFill="1"/>
    <xf numFmtId="49" fontId="0" fillId="13" borderId="0" xfId="0" applyNumberFormat="1" applyFill="1"/>
    <xf numFmtId="176" fontId="16" fillId="0" borderId="0" xfId="13" applyNumberFormat="1" applyFont="1"/>
    <xf numFmtId="43" fontId="0" fillId="13" borderId="0" xfId="13" applyFont="1" applyFill="1"/>
    <xf numFmtId="2" fontId="16" fillId="0" borderId="0" xfId="0" applyNumberFormat="1" applyFont="1" applyAlignment="1">
      <alignment horizontal="center"/>
    </xf>
    <xf numFmtId="3" fontId="15" fillId="13" borderId="0" xfId="14" applyNumberFormat="1" applyFill="1"/>
    <xf numFmtId="0" fontId="1" fillId="0" borderId="0" xfId="26" applyFont="1"/>
    <xf numFmtId="3" fontId="53" fillId="13" borderId="0" xfId="14" applyNumberFormat="1" applyFont="1" applyFill="1"/>
    <xf numFmtId="43" fontId="0" fillId="12" borderId="0" xfId="13" applyFont="1" applyFill="1"/>
    <xf numFmtId="0" fontId="0" fillId="14" borderId="33" xfId="0" applyFill="1" applyBorder="1"/>
    <xf numFmtId="3" fontId="0" fillId="14" borderId="33" xfId="0" applyNumberFormat="1" applyFill="1" applyBorder="1"/>
    <xf numFmtId="0" fontId="16" fillId="4" borderId="17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 wrapText="1"/>
    </xf>
    <xf numFmtId="0" fontId="16" fillId="4" borderId="21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4" borderId="23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7" fontId="0" fillId="4" borderId="1" xfId="13" applyNumberFormat="1" applyFont="1" applyFill="1" applyBorder="1" applyAlignment="1">
      <alignment horizontal="center"/>
    </xf>
    <xf numFmtId="3" fontId="0" fillId="4" borderId="1" xfId="13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" fillId="12" borderId="1" xfId="25" applyFont="1" applyFill="1" applyBorder="1"/>
    <xf numFmtId="0" fontId="1" fillId="0" borderId="1" xfId="26" applyFont="1" applyBorder="1"/>
    <xf numFmtId="0" fontId="37" fillId="13" borderId="1" xfId="14" applyFont="1" applyFill="1" applyBorder="1" applyAlignment="1"/>
    <xf numFmtId="0" fontId="0" fillId="13" borderId="1" xfId="0" applyFill="1" applyBorder="1" applyAlignment="1"/>
    <xf numFmtId="0" fontId="37" fillId="13" borderId="2" xfId="14" applyFont="1" applyFill="1" applyBorder="1" applyAlignment="1"/>
    <xf numFmtId="0" fontId="37" fillId="13" borderId="9" xfId="14" applyFont="1" applyFill="1" applyBorder="1" applyAlignment="1"/>
    <xf numFmtId="0" fontId="37" fillId="13" borderId="8" xfId="14" applyFont="1" applyFill="1" applyBorder="1" applyAlignment="1"/>
    <xf numFmtId="0" fontId="36" fillId="13" borderId="2" xfId="14" applyFont="1" applyFill="1" applyBorder="1" applyAlignment="1"/>
    <xf numFmtId="0" fontId="36" fillId="13" borderId="8" xfId="14" applyFont="1" applyFill="1" applyBorder="1" applyAlignment="1"/>
  </cellXfs>
  <cellStyles count="55">
    <cellStyle name="Comma" xfId="35" xr:uid="{00000000-0005-0000-0000-000000000000}"/>
    <cellStyle name="Comma [0]" xfId="36" xr:uid="{00000000-0005-0000-0000-000001000000}"/>
    <cellStyle name="Currency" xfId="33" xr:uid="{00000000-0005-0000-0000-000002000000}"/>
    <cellStyle name="Currency [0]" xfId="34" xr:uid="{00000000-0005-0000-0000-000003000000}"/>
    <cellStyle name="Inndata" xfId="24" builtinId="20"/>
    <cellStyle name="Komma" xfId="13" builtinId="3"/>
    <cellStyle name="Komma 2" xfId="40" xr:uid="{00000000-0005-0000-0000-000007000000}"/>
    <cellStyle name="Komma 2 2" xfId="50" xr:uid="{2DCB9286-B0BC-41F4-A2C6-9659E800A439}"/>
    <cellStyle name="Komma 3" xfId="46" xr:uid="{892D5B7D-CF78-4637-97CE-8E89FFDC70FD}"/>
    <cellStyle name="Komma 4" xfId="44" xr:uid="{1EDC7CE6-E15B-4294-88BF-D8D2B169759D}"/>
    <cellStyle name="Komma 5" xfId="48" xr:uid="{D6F22DE8-DE30-4F4C-8D6B-56D9F1D41CEE}"/>
    <cellStyle name="Normal" xfId="0" builtinId="0"/>
    <cellStyle name="Normal 10" xfId="25" xr:uid="{00000000-0005-0000-0000-000009000000}"/>
    <cellStyle name="Normal 10 2" xfId="26" xr:uid="{00000000-0005-0000-0000-00000A000000}"/>
    <cellStyle name="Normal 10_Akontoutbet" xfId="27" xr:uid="{00000000-0005-0000-0000-00000B000000}"/>
    <cellStyle name="Normal 11" xfId="30" xr:uid="{00000000-0005-0000-0000-00000C000000}"/>
    <cellStyle name="Normal 12" xfId="31" xr:uid="{00000000-0005-0000-0000-00000D000000}"/>
    <cellStyle name="Normal 13" xfId="38" xr:uid="{00000000-0005-0000-0000-00000E000000}"/>
    <cellStyle name="Normal 13 2" xfId="52" xr:uid="{A3D0CB70-56D8-4196-83AB-87A7FAD683AA}"/>
    <cellStyle name="Normal 14" xfId="42" xr:uid="{00000000-0005-0000-0000-00000F000000}"/>
    <cellStyle name="Normal 15" xfId="45" xr:uid="{4390AC53-F6E0-4ED5-9C24-DBF49663ED31}"/>
    <cellStyle name="Normal 16" xfId="47" xr:uid="{EFAB2F33-CF13-4A10-BFFC-64BBE6637703}"/>
    <cellStyle name="Normal 17" xfId="51" xr:uid="{52219952-6CAE-4657-9F48-38DD9B1688DF}"/>
    <cellStyle name="Normal 2" xfId="1" xr:uid="{00000000-0005-0000-0000-000010000000}"/>
    <cellStyle name="Normal 2 2" xfId="2" xr:uid="{00000000-0005-0000-0000-000011000000}"/>
    <cellStyle name="Normal 2 3" xfId="3" xr:uid="{00000000-0005-0000-0000-000012000000}"/>
    <cellStyle name="Normal 2 4" xfId="4" xr:uid="{00000000-0005-0000-0000-000013000000}"/>
    <cellStyle name="Normal 2 5" xfId="5" xr:uid="{00000000-0005-0000-0000-000014000000}"/>
    <cellStyle name="Normal 2 6" xfId="43" xr:uid="{577C30E3-DBFB-4616-B2EF-26D7D655E055}"/>
    <cellStyle name="Normal 2 7" xfId="49" xr:uid="{F3985E4D-982C-4F1B-9C96-CCBF3AC4A7F5}"/>
    <cellStyle name="Normal 3" xfId="14" xr:uid="{00000000-0005-0000-0000-000015000000}"/>
    <cellStyle name="Normal 3 2" xfId="6" xr:uid="{00000000-0005-0000-0000-000016000000}"/>
    <cellStyle name="Normal 3 2 2" xfId="37" xr:uid="{00000000-0005-0000-0000-000017000000}"/>
    <cellStyle name="Normal 3 3" xfId="7" xr:uid="{00000000-0005-0000-0000-000018000000}"/>
    <cellStyle name="Normal 3 4" xfId="8" xr:uid="{00000000-0005-0000-0000-000019000000}"/>
    <cellStyle name="Normal 3 5" xfId="9" xr:uid="{00000000-0005-0000-0000-00001A000000}"/>
    <cellStyle name="Normal 3_Akontoutbet" xfId="28" xr:uid="{00000000-0005-0000-0000-00001B000000}"/>
    <cellStyle name="Normal 4" xfId="10" xr:uid="{00000000-0005-0000-0000-00001C000000}"/>
    <cellStyle name="Normal 5" xfId="11" xr:uid="{00000000-0005-0000-0000-00001D000000}"/>
    <cellStyle name="Normal 5 2" xfId="41" xr:uid="{00000000-0005-0000-0000-00001E000000}"/>
    <cellStyle name="Normal 5 2 2" xfId="54" xr:uid="{7FEE3414-21AA-4623-B2AE-F910CBF8472F}"/>
    <cellStyle name="Normal 6" xfId="15" xr:uid="{00000000-0005-0000-0000-00001F000000}"/>
    <cellStyle name="Normal 7" xfId="16" xr:uid="{00000000-0005-0000-0000-000020000000}"/>
    <cellStyle name="Normal 8" xfId="17" xr:uid="{00000000-0005-0000-0000-000021000000}"/>
    <cellStyle name="Normal 8 2" xfId="20" xr:uid="{00000000-0005-0000-0000-000022000000}"/>
    <cellStyle name="Normal 8_Akontoutbet" xfId="29" xr:uid="{00000000-0005-0000-0000-000023000000}"/>
    <cellStyle name="Normal 9" xfId="19" xr:uid="{00000000-0005-0000-0000-000024000000}"/>
    <cellStyle name="Percent" xfId="32" xr:uid="{00000000-0005-0000-0000-000028000000}"/>
    <cellStyle name="Prosent" xfId="12" builtinId="5"/>
    <cellStyle name="Prosent 2" xfId="22" xr:uid="{00000000-0005-0000-0000-00002A000000}"/>
    <cellStyle name="Tusenskille [0] 2" xfId="21" xr:uid="{00000000-0005-0000-0000-00002B000000}"/>
    <cellStyle name="Tusenskille 2" xfId="18" xr:uid="{00000000-0005-0000-0000-00002C000000}"/>
    <cellStyle name="Tusenskille 2 2" xfId="23" xr:uid="{00000000-0005-0000-0000-00002D000000}"/>
    <cellStyle name="Tusenskille 3" xfId="39" xr:uid="{00000000-0005-0000-0000-00002E000000}"/>
    <cellStyle name="Tusenskille 3 2" xfId="53" xr:uid="{B51BAD65-B9C7-414D-91C3-79F721070828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FFFF99"/>
      <color rgb="FFF4CDC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Input, kommunale barnehager'!A1"/><Relationship Id="rId7" Type="http://schemas.openxmlformats.org/officeDocument/2006/relationships/hyperlink" Target="#Pensjon!A1"/><Relationship Id="rId2" Type="http://schemas.openxmlformats.org/officeDocument/2006/relationships/image" Target="../media/image1.png"/><Relationship Id="rId1" Type="http://schemas.openxmlformats.org/officeDocument/2006/relationships/hyperlink" Target="https://upload.wikimedia.org/wikipedia/commons/6/65/Sandefjord_komm_2017.svg" TargetMode="External"/><Relationship Id="rId6" Type="http://schemas.openxmlformats.org/officeDocument/2006/relationships/hyperlink" Target="#Satser!A1"/><Relationship Id="rId5" Type="http://schemas.openxmlformats.org/officeDocument/2006/relationships/hyperlink" Target="#Udir!A1"/><Relationship Id="rId4" Type="http://schemas.openxmlformats.org/officeDocument/2006/relationships/hyperlink" Target="#'Beregning, komm.tilskudd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276000</xdr:colOff>
      <xdr:row>5</xdr:row>
      <xdr:rowOff>73358</xdr:rowOff>
    </xdr:to>
    <xdr:sp macro="[0]!Macro2" textlink="">
      <xdr:nvSpPr>
        <xdr:cNvPr id="3" name="Bev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96500" y="190500"/>
          <a:ext cx="1800000" cy="721058"/>
        </a:xfrm>
        <a:prstGeom prst="bevel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/>
            <a:t>Til hovedsiden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3</xdr:row>
      <xdr:rowOff>76200</xdr:rowOff>
    </xdr:from>
    <xdr:to>
      <xdr:col>13</xdr:col>
      <xdr:colOff>438150</xdr:colOff>
      <xdr:row>16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3400" y="561975"/>
          <a:ext cx="9191625" cy="20859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 prstMaterial="matte"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nb-NO" sz="2000">
            <a:latin typeface="Arial" pitchFamily="34" charset="0"/>
            <a:cs typeface="Arial" pitchFamily="34" charset="0"/>
          </a:endParaRPr>
        </a:p>
        <a:p>
          <a:pPr lvl="0" algn="ctr"/>
          <a:r>
            <a:rPr lang="nb-NO" sz="2000">
              <a:latin typeface="Arial" pitchFamily="34" charset="0"/>
              <a:cs typeface="Arial" pitchFamily="34" charset="0"/>
            </a:rPr>
            <a:t>Beregningsmodell</a:t>
          </a:r>
          <a:r>
            <a:rPr lang="nb-NO" sz="2000" baseline="0">
              <a:latin typeface="Arial" pitchFamily="34" charset="0"/>
              <a:cs typeface="Arial" pitchFamily="34" charset="0"/>
            </a:rPr>
            <a:t> for likeverdig behandling, </a:t>
          </a:r>
          <a:br>
            <a:rPr lang="nb-NO" sz="2000" baseline="0">
              <a:latin typeface="Arial" pitchFamily="34" charset="0"/>
              <a:cs typeface="Arial" pitchFamily="34" charset="0"/>
            </a:rPr>
          </a:br>
          <a:r>
            <a:rPr lang="nb-NO" sz="2000" baseline="0">
              <a:latin typeface="Arial" pitchFamily="34" charset="0"/>
              <a:cs typeface="Arial" pitchFamily="34" charset="0"/>
            </a:rPr>
            <a:t>tildeling av offentlig tilskudd til private</a:t>
          </a:r>
          <a:br>
            <a:rPr lang="nb-NO" sz="2000" baseline="0">
              <a:latin typeface="Arial" pitchFamily="34" charset="0"/>
              <a:cs typeface="Arial" pitchFamily="34" charset="0"/>
            </a:rPr>
          </a:br>
          <a:r>
            <a:rPr lang="nb-NO" sz="2000" baseline="0">
              <a:latin typeface="Arial" pitchFamily="34" charset="0"/>
              <a:cs typeface="Arial" pitchFamily="34" charset="0"/>
            </a:rPr>
            <a:t>barnehager i Sandefjord kommune</a:t>
          </a:r>
        </a:p>
        <a:p>
          <a:endParaRPr lang="nb-NO" sz="1100"/>
        </a:p>
      </xdr:txBody>
    </xdr:sp>
    <xdr:clientData/>
  </xdr:twoCellAnchor>
  <xdr:twoCellAnchor editAs="oneCell">
    <xdr:from>
      <xdr:col>11</xdr:col>
      <xdr:colOff>178593</xdr:colOff>
      <xdr:row>5</xdr:row>
      <xdr:rowOff>46586</xdr:rowOff>
    </xdr:from>
    <xdr:to>
      <xdr:col>13</xdr:col>
      <xdr:colOff>1269</xdr:colOff>
      <xdr:row>14</xdr:row>
      <xdr:rowOff>29306</xdr:rowOff>
    </xdr:to>
    <xdr:pic>
      <xdr:nvPicPr>
        <xdr:cNvPr id="8634" name="Picture 1">
          <a:hlinkClick xmlns:r="http://schemas.openxmlformats.org/officeDocument/2006/relationships" r:id="rId1" tooltip="Våpen"/>
          <a:extLst>
            <a:ext uri="{FF2B5EF4-FFF2-40B4-BE49-F238E27FC236}">
              <a16:creationId xmlns:a16="http://schemas.microsoft.com/office/drawing/2014/main" id="{00000000-0008-0000-0100-0000BA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36718" y="856211"/>
          <a:ext cx="1240631" cy="143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17</xdr:row>
      <xdr:rowOff>95250</xdr:rowOff>
    </xdr:from>
    <xdr:to>
      <xdr:col>13</xdr:col>
      <xdr:colOff>466725</xdr:colOff>
      <xdr:row>19</xdr:row>
      <xdr:rowOff>59531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3875" y="2847975"/>
          <a:ext cx="9229725" cy="288131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nb-NO" sz="2000">
            <a:latin typeface="Arial" pitchFamily="34" charset="0"/>
            <a:cs typeface="Arial" pitchFamily="34" charset="0"/>
          </a:endParaRPr>
        </a:p>
        <a:p>
          <a:endParaRPr lang="nb-NO" sz="1100"/>
        </a:p>
      </xdr:txBody>
    </xdr:sp>
    <xdr:clientData/>
  </xdr:twoCellAnchor>
  <xdr:twoCellAnchor>
    <xdr:from>
      <xdr:col>1</xdr:col>
      <xdr:colOff>57149</xdr:colOff>
      <xdr:row>20</xdr:row>
      <xdr:rowOff>95250</xdr:rowOff>
    </xdr:from>
    <xdr:to>
      <xdr:col>3</xdr:col>
      <xdr:colOff>277949</xdr:colOff>
      <xdr:row>25</xdr:row>
      <xdr:rowOff>5625</xdr:rowOff>
    </xdr:to>
    <xdr:sp macro="[0]!Macro1" textlink="">
      <xdr:nvSpPr>
        <xdr:cNvPr id="5" name="Bevel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6749" y="3333750"/>
          <a:ext cx="1440000" cy="720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nb-NO" sz="1100"/>
            <a:t>Input,</a:t>
          </a:r>
        </a:p>
        <a:p>
          <a:pPr algn="ctr"/>
          <a:r>
            <a:rPr lang="nb-NO" sz="1100"/>
            <a:t> kommunale barnehager</a:t>
          </a:r>
        </a:p>
      </xdr:txBody>
    </xdr:sp>
    <xdr:clientData/>
  </xdr:twoCellAnchor>
  <xdr:twoCellAnchor>
    <xdr:from>
      <xdr:col>3</xdr:col>
      <xdr:colOff>400050</xdr:colOff>
      <xdr:row>20</xdr:row>
      <xdr:rowOff>95250</xdr:rowOff>
    </xdr:from>
    <xdr:to>
      <xdr:col>6</xdr:col>
      <xdr:colOff>11250</xdr:colOff>
      <xdr:row>25</xdr:row>
      <xdr:rowOff>5625</xdr:rowOff>
    </xdr:to>
    <xdr:sp macro="[0]!Macro3" textlink="">
      <xdr:nvSpPr>
        <xdr:cNvPr id="6" name="Bevel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228850" y="3333750"/>
          <a:ext cx="1440000" cy="720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>
              <a:solidFill>
                <a:sysClr val="windowText" lastClr="000000"/>
              </a:solidFill>
            </a:rPr>
            <a:t>Beregning kommunalt tilskudd</a:t>
          </a:r>
        </a:p>
      </xdr:txBody>
    </xdr:sp>
    <xdr:clientData/>
  </xdr:twoCellAnchor>
  <xdr:twoCellAnchor>
    <xdr:from>
      <xdr:col>6</xdr:col>
      <xdr:colOff>161925</xdr:colOff>
      <xdr:row>20</xdr:row>
      <xdr:rowOff>104775</xdr:rowOff>
    </xdr:from>
    <xdr:to>
      <xdr:col>8</xdr:col>
      <xdr:colOff>382725</xdr:colOff>
      <xdr:row>25</xdr:row>
      <xdr:rowOff>15150</xdr:rowOff>
    </xdr:to>
    <xdr:sp macro="[0]!Macro5" textlink="">
      <xdr:nvSpPr>
        <xdr:cNvPr id="7" name="Bevel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819525" y="3343275"/>
          <a:ext cx="1440000" cy="720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>
              <a:solidFill>
                <a:sysClr val="windowText" lastClr="000000"/>
              </a:solidFill>
            </a:rPr>
            <a:t>Pensjonsandel</a:t>
          </a:r>
          <a:br>
            <a:rPr lang="nb-NO" sz="1100">
              <a:solidFill>
                <a:sysClr val="windowText" lastClr="000000"/>
              </a:solidFill>
            </a:rPr>
          </a:br>
          <a:r>
            <a:rPr lang="nb-NO" sz="1100">
              <a:solidFill>
                <a:sysClr val="windowText" lastClr="000000"/>
              </a:solidFill>
            </a:rPr>
            <a:t>i</a:t>
          </a:r>
          <a:r>
            <a:rPr lang="nb-NO" sz="1100" baseline="0">
              <a:solidFill>
                <a:sysClr val="windowText" lastClr="000000"/>
              </a:solidFill>
            </a:rPr>
            <a:t> henhold til Udirs oppsett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514350</xdr:colOff>
      <xdr:row>20</xdr:row>
      <xdr:rowOff>104775</xdr:rowOff>
    </xdr:from>
    <xdr:to>
      <xdr:col>11</xdr:col>
      <xdr:colOff>125550</xdr:colOff>
      <xdr:row>25</xdr:row>
      <xdr:rowOff>15150</xdr:rowOff>
    </xdr:to>
    <xdr:sp macro="[0]!Macro7" textlink="">
      <xdr:nvSpPr>
        <xdr:cNvPr id="8" name="Bevel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391150" y="3343275"/>
          <a:ext cx="1440000" cy="720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>
              <a:solidFill>
                <a:sysClr val="windowText" lastClr="000000"/>
              </a:solidFill>
            </a:rPr>
            <a:t>Gjeldende tilskuddssatser</a:t>
          </a:r>
        </a:p>
      </xdr:txBody>
    </xdr:sp>
    <xdr:clientData/>
  </xdr:twoCellAnchor>
  <xdr:twoCellAnchor>
    <xdr:from>
      <xdr:col>11</xdr:col>
      <xdr:colOff>228600</xdr:colOff>
      <xdr:row>20</xdr:row>
      <xdr:rowOff>95249</xdr:rowOff>
    </xdr:from>
    <xdr:to>
      <xdr:col>13</xdr:col>
      <xdr:colOff>449400</xdr:colOff>
      <xdr:row>25</xdr:row>
      <xdr:rowOff>5624</xdr:rowOff>
    </xdr:to>
    <xdr:sp macro="[0]!Macro9" textlink="">
      <xdr:nvSpPr>
        <xdr:cNvPr id="9" name="Bevel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934200" y="3333749"/>
          <a:ext cx="1440000" cy="720000"/>
        </a:xfrm>
        <a:prstGeom prst="bevel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>
              <a:solidFill>
                <a:sysClr val="windowText" lastClr="000000"/>
              </a:solidFill>
              <a:effectLst/>
            </a:rPr>
            <a:t>Pensjonspåslag</a:t>
          </a:r>
          <a:r>
            <a:rPr lang="nb-NO" baseline="0">
              <a:solidFill>
                <a:sysClr val="windowText" lastClr="000000"/>
              </a:solidFill>
              <a:effectLst/>
            </a:rPr>
            <a:t> 10% pluss arb.g.avg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0</xdr:col>
      <xdr:colOff>1914300</xdr:colOff>
      <xdr:row>2</xdr:row>
      <xdr:rowOff>158025</xdr:rowOff>
    </xdr:to>
    <xdr:sp macro="[0]!Macro2" textlink="">
      <xdr:nvSpPr>
        <xdr:cNvPr id="6" name="Bev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4300" y="114300"/>
          <a:ext cx="1800000" cy="720000"/>
        </a:xfrm>
        <a:prstGeom prst="bevel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/>
            <a:t>Til hovedsidenKr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306916</xdr:colOff>
      <xdr:row>0</xdr:row>
      <xdr:rowOff>0</xdr:rowOff>
    </xdr:from>
    <xdr:to>
      <xdr:col>12</xdr:col>
      <xdr:colOff>824216</xdr:colOff>
      <xdr:row>4</xdr:row>
      <xdr:rowOff>150617</xdr:rowOff>
    </xdr:to>
    <xdr:sp macro="[0]!Macro10" textlink="">
      <xdr:nvSpPr>
        <xdr:cNvPr id="3" name="Bev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127B8-ACE9-4311-A259-4AAB34550C13}"/>
            </a:ext>
          </a:extLst>
        </xdr:cNvPr>
        <xdr:cNvSpPr/>
      </xdr:nvSpPr>
      <xdr:spPr>
        <a:xfrm>
          <a:off x="10382249" y="0"/>
          <a:ext cx="1406300" cy="722117"/>
        </a:xfrm>
        <a:prstGeom prst="bevel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/>
            <a:t>Til forsiden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152399</xdr:rowOff>
    </xdr:from>
    <xdr:to>
      <xdr:col>0</xdr:col>
      <xdr:colOff>1952400</xdr:colOff>
      <xdr:row>3</xdr:row>
      <xdr:rowOff>34199</xdr:rowOff>
    </xdr:to>
    <xdr:sp macro="[0]!Macro6" textlink="">
      <xdr:nvSpPr>
        <xdr:cNvPr id="2" name="Bev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2400" y="152399"/>
          <a:ext cx="1800000" cy="720000"/>
        </a:xfrm>
        <a:prstGeom prst="bevel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/>
            <a:t>Til forsiden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7</xdr:row>
      <xdr:rowOff>0</xdr:rowOff>
    </xdr:from>
    <xdr:to>
      <xdr:col>22</xdr:col>
      <xdr:colOff>276000</xdr:colOff>
      <xdr:row>12</xdr:row>
      <xdr:rowOff>92408</xdr:rowOff>
    </xdr:to>
    <xdr:sp macro="[0]!Macro2" textlink="">
      <xdr:nvSpPr>
        <xdr:cNvPr id="2" name="Bev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828400-10D0-4EAB-9C0E-A465BA64B143}"/>
            </a:ext>
          </a:extLst>
        </xdr:cNvPr>
        <xdr:cNvSpPr/>
      </xdr:nvSpPr>
      <xdr:spPr>
        <a:xfrm>
          <a:off x="18449925" y="1162050"/>
          <a:ext cx="1800000" cy="1044908"/>
        </a:xfrm>
        <a:prstGeom prst="bevel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/>
            <a:t>Til hovedsiden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13</xdr:col>
      <xdr:colOff>276000</xdr:colOff>
      <xdr:row>5</xdr:row>
      <xdr:rowOff>149558</xdr:rowOff>
    </xdr:to>
    <xdr:sp macro="[0]!Macro2" textlink="">
      <xdr:nvSpPr>
        <xdr:cNvPr id="3" name="Bev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791825" y="381000"/>
          <a:ext cx="1800000" cy="721058"/>
        </a:xfrm>
        <a:prstGeom prst="bevel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/>
            <a:t>Til hovedsiden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7</xdr:col>
      <xdr:colOff>276000</xdr:colOff>
      <xdr:row>4</xdr:row>
      <xdr:rowOff>149558</xdr:rowOff>
    </xdr:to>
    <xdr:sp macro="[0]!Macro2" textlink="">
      <xdr:nvSpPr>
        <xdr:cNvPr id="3" name="Bev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600575" y="381000"/>
          <a:ext cx="1800000" cy="721058"/>
        </a:xfrm>
        <a:prstGeom prst="bevel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b-NO" sz="1100"/>
            <a:t>Til hovedsiden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.sandefjord.kommune.no\administrasjon\OK\Administrasjon%20oppvekst%20og%20kunnskap\21%20Administrasjon\2017\Regnskap\&#197;rsoppgj&#248;r\R&#248;d%20bok\&#197;rsregnskap%202017%20hele%20kommunen%20utlistet%20201805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sjon/21%20Administrasjon/2013/Budsjett/1.tertial%20og%20rammesak/Elevtallsendr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R\My%20Documents\2006\SANDEFJORD%20KOMMUNE\Ressursmodell%20v&#229;r%202006\Eksempeldokumentasjon\SANDNES_Modell%20v10b%20inkl%20oppdatert%20elevgrunnlag%20(ikke%20beskytte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2%20Skole\&#216;konomi\Ny%20ressursmodell\Ressursmodell%20Sandefjord%20kommune%20v1.2%20-%20f&#248;rste%20kj&#248;ring%2013.10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Regnskap hittil i år"/>
      <sheetName val="Prosjekt"/>
      <sheetName val="Objekt"/>
      <sheetName val="Kommunale barnehager felles"/>
      <sheetName val="Vaktmestertjenesten"/>
      <sheetName val="Obj kom bhg"/>
      <sheetName val="__parameter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e elevtall"/>
      <sheetName val="FORUTSETNINGER"/>
      <sheetName val="Budendr-i-aar"/>
      <sheetName val="Budendr-i-aar-LTB"/>
      <sheetName val="LTB ufordelt endring 2-4"/>
      <sheetName val="LTB ufordelt endring 2-4 (2)"/>
      <sheetName val="Ark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vedmeny (2)"/>
      <sheetName val="Hovedmeny"/>
      <sheetName val="Veiledning"/>
      <sheetName val="Hjelpeark"/>
      <sheetName val="Tildelingsfaktorer"/>
      <sheetName val="Manuell tildeling"/>
      <sheetName val="Uttrekk SATS"/>
      <sheetName val="Uttrekk senior_1"/>
      <sheetName val="Uttrekk senior_2"/>
      <sheetName val="MR Ant elever"/>
      <sheetName val="MR senioransatte"/>
      <sheetName val="Tildeling"/>
      <sheetName val="Simulering"/>
      <sheetName val="Totalrapport"/>
      <sheetName val="Aspe"/>
      <sheetName val="Aust"/>
      <sheetName val="Boga"/>
      <sheetName val="Figg"/>
      <sheetName val="Gand"/>
      <sheetName val="Gisk"/>
      <sheetName val="Hana"/>
      <sheetName val="Homm"/>
      <sheetName val="Høle"/>
      <sheetName val="Høyl"/>
      <sheetName val="Igle"/>
      <sheetName val="Kyrk"/>
      <sheetName val="Lham"/>
      <sheetName val="Lura"/>
      <sheetName val="Malm"/>
      <sheetName val="Maud"/>
      <sheetName val="Pors"/>
      <sheetName val="Risk"/>
      <sheetName val="Sand"/>
      <sheetName val="Skei"/>
      <sheetName val="Smea"/>
      <sheetName val="Soma"/>
      <sheetName val="Stan"/>
      <sheetName val="Svil"/>
      <sheetName val="Sørb"/>
      <sheetName val="Tron"/>
      <sheetName val="Vatn"/>
      <sheetName val="Øyga"/>
      <sheetName val="Alto"/>
      <sheetName val="Ny 1"/>
      <sheetName val="Ny 2"/>
      <sheetName val="Ny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VEDMENY"/>
      <sheetName val="Hjelpeark"/>
      <sheetName val="Veiledning"/>
      <sheetName val="Tildelingsfaktorer"/>
      <sheetName val="Manuell tildeling"/>
      <sheetName val="Tildeling pr. skole"/>
      <sheetName val="Simulering spesundv"/>
      <sheetName val="Sammenligning m gammel modell"/>
      <sheetName val="Simulering - kommune"/>
      <sheetName val="Utrekk skoleadmin"/>
      <sheetName val="MR antall elever"/>
      <sheetName val="Uttrek senior 1"/>
      <sheetName val="Uttrekk senior 2"/>
      <sheetName val="MR senior"/>
      <sheetName val="Uttrekk gjlønn"/>
      <sheetName val="MR gjlønn"/>
      <sheetName val="Totalrapport"/>
      <sheetName val="Brei"/>
      <sheetName val="Bugå"/>
      <sheetName val="Ranv"/>
      <sheetName val="Vard"/>
      <sheetName val="Bysk"/>
      <sheetName val="Feva"/>
      <sheetName val="Fram"/>
      <sheetName val="Goks"/>
      <sheetName val="Hauk"/>
      <sheetName val="Helg"/>
      <sheetName val="Krok"/>
      <sheetName val="Moss"/>
      <sheetName val="Orme"/>
      <sheetName val="Sand"/>
      <sheetName val="Stor"/>
      <sheetName val="Unne"/>
      <sheetName val="Vest"/>
      <sheetName val="Viri"/>
      <sheetName val="Ny 1"/>
      <sheetName val="Ny 2"/>
      <sheetName val="Ny 3"/>
      <sheetName val="Ny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B1:I50"/>
  <sheetViews>
    <sheetView workbookViewId="0"/>
  </sheetViews>
  <sheetFormatPr defaultColWidth="11.42578125" defaultRowHeight="12.75"/>
  <cols>
    <col min="2" max="2" width="54.7109375" customWidth="1"/>
    <col min="3" max="3" width="13.85546875" bestFit="1" customWidth="1"/>
    <col min="4" max="4" width="10.28515625" style="77" customWidth="1"/>
    <col min="5" max="5" width="48.140625" bestFit="1" customWidth="1"/>
    <col min="8" max="8" width="12.85546875" bestFit="1" customWidth="1"/>
  </cols>
  <sheetData>
    <row r="1" spans="2:9" ht="15">
      <c r="B1" s="97" t="s">
        <v>0</v>
      </c>
    </row>
    <row r="4" spans="2:9">
      <c r="C4" s="2"/>
      <c r="D4" s="59"/>
    </row>
    <row r="5" spans="2:9">
      <c r="B5" s="2" t="s">
        <v>1</v>
      </c>
      <c r="C5" s="1">
        <f>'Input, kommunale barnehager'!B53+'Input, kommunale barnehager'!D53+'Input, kommunale barnehager'!E53+'Input, kommunale barnehager'!F53+'Input, kommunale barnehager'!L53</f>
        <v>249378681.81130403</v>
      </c>
      <c r="E5" s="113" t="s">
        <v>2</v>
      </c>
      <c r="F5" s="114">
        <v>271.77999999999997</v>
      </c>
    </row>
    <row r="6" spans="2:9">
      <c r="B6" t="s">
        <v>3</v>
      </c>
      <c r="C6" s="1">
        <f>'Input, kommunale barnehager'!H53</f>
        <v>-40688998.928900003</v>
      </c>
      <c r="E6" s="113" t="s">
        <v>4</v>
      </c>
      <c r="F6" s="114">
        <v>263.27999999999997</v>
      </c>
    </row>
    <row r="7" spans="2:9">
      <c r="B7" s="2" t="s">
        <v>5</v>
      </c>
      <c r="C7" s="1">
        <f>C5+C6</f>
        <v>208689682.88240403</v>
      </c>
      <c r="E7" s="113" t="s">
        <v>6</v>
      </c>
      <c r="F7" s="114">
        <f>F5*7/12+F6*5/12</f>
        <v>268.23833333333334</v>
      </c>
    </row>
    <row r="8" spans="2:9">
      <c r="E8" s="113" t="s">
        <v>7</v>
      </c>
      <c r="F8" s="130">
        <f>-C6/F7*1.04*1.035</f>
        <v>163278.81963329113</v>
      </c>
    </row>
    <row r="9" spans="2:9">
      <c r="B9" t="s">
        <v>8</v>
      </c>
      <c r="C9" s="1">
        <v>179458324.92999998</v>
      </c>
      <c r="D9" s="1"/>
      <c r="E9" s="113" t="s">
        <v>9</v>
      </c>
      <c r="F9" s="130">
        <f>243852983.4/(D29*1.8+D30)*1.04*1.035</f>
        <v>186445.64020897757</v>
      </c>
    </row>
    <row r="10" spans="2:9">
      <c r="B10" s="2" t="s">
        <v>10</v>
      </c>
      <c r="C10" s="1">
        <f>C9*10%</f>
        <v>17945832.492999997</v>
      </c>
      <c r="D10" s="1"/>
      <c r="E10" s="113"/>
      <c r="F10" s="113"/>
      <c r="I10" s="1"/>
    </row>
    <row r="11" spans="2:9">
      <c r="B11" t="s">
        <v>11</v>
      </c>
      <c r="C11" s="1">
        <f>C10*14.1%</f>
        <v>2530362.3815129995</v>
      </c>
      <c r="D11" s="1"/>
      <c r="E11" s="113" t="str">
        <f>B10</f>
        <v>Pensjonspåslag eks arbeidsgiveravgift (10%)</v>
      </c>
      <c r="F11" s="130">
        <f>C10</f>
        <v>17945832.492999997</v>
      </c>
    </row>
    <row r="12" spans="2:9">
      <c r="B12" t="s">
        <v>12</v>
      </c>
      <c r="C12" s="1">
        <f>C10+C11</f>
        <v>20476194.874512997</v>
      </c>
      <c r="D12" s="1"/>
      <c r="E12" s="113" t="s">
        <v>13</v>
      </c>
      <c r="F12" s="130">
        <f>F11*1.04*1.035</f>
        <v>19316894.095465194</v>
      </c>
    </row>
    <row r="13" spans="2:9">
      <c r="D13"/>
      <c r="E13" s="113" t="s">
        <v>11</v>
      </c>
      <c r="F13" s="130">
        <f>F12*14.1%</f>
        <v>2723682.0674605924</v>
      </c>
    </row>
    <row r="14" spans="2:9">
      <c r="B14" t="s">
        <v>14</v>
      </c>
      <c r="D14"/>
      <c r="E14" s="113" t="s">
        <v>12</v>
      </c>
      <c r="F14" s="130">
        <f>SUM(F12:F13)</f>
        <v>22040576.162925787</v>
      </c>
    </row>
    <row r="15" spans="2:9">
      <c r="B15" s="2" t="s">
        <v>15</v>
      </c>
      <c r="C15" s="1">
        <f>C7</f>
        <v>208689682.88240403</v>
      </c>
      <c r="D15" s="1"/>
      <c r="E15" s="113"/>
      <c r="F15" s="113"/>
    </row>
    <row r="16" spans="2:9">
      <c r="B16" t="s">
        <v>16</v>
      </c>
      <c r="C16" s="1">
        <f>C12</f>
        <v>20476194.874512997</v>
      </c>
      <c r="D16" s="1"/>
      <c r="E16" s="113" t="s">
        <v>17</v>
      </c>
      <c r="F16" s="115">
        <f>(F14*1.8*D29)/(D29*1.8+D30)</f>
        <v>10480730.629964683</v>
      </c>
    </row>
    <row r="17" spans="2:6">
      <c r="B17" t="s">
        <v>18</v>
      </c>
      <c r="C17" s="1">
        <f>C15+C16</f>
        <v>229165877.75691703</v>
      </c>
      <c r="D17" s="1"/>
      <c r="E17" s="113" t="s">
        <v>19</v>
      </c>
      <c r="F17" s="115">
        <f>(F14*D30/(D29*1.8+D30))</f>
        <v>11559845.532961104</v>
      </c>
    </row>
    <row r="18" spans="2:6">
      <c r="B18" t="s">
        <v>20</v>
      </c>
      <c r="C18" s="1">
        <f>C17*4.3%</f>
        <v>9854132.7435474321</v>
      </c>
      <c r="D18" s="1"/>
      <c r="E18" s="113"/>
      <c r="F18" s="130"/>
    </row>
    <row r="19" spans="2:6">
      <c r="C19" s="1"/>
      <c r="D19" s="1"/>
      <c r="E19" s="113" t="s">
        <v>21</v>
      </c>
      <c r="F19" s="130">
        <f>F16/D29</f>
        <v>28180.319865466321</v>
      </c>
    </row>
    <row r="20" spans="2:6">
      <c r="B20" t="s">
        <v>22</v>
      </c>
      <c r="D20"/>
      <c r="E20" s="113" t="s">
        <v>23</v>
      </c>
      <c r="F20" s="130">
        <f>F17/D30</f>
        <v>15655.733258592401</v>
      </c>
    </row>
    <row r="21" spans="2:6">
      <c r="B21" t="s">
        <v>24</v>
      </c>
      <c r="C21" s="1">
        <f>C7+C12+C18</f>
        <v>239020010.50046447</v>
      </c>
      <c r="D21" s="1"/>
    </row>
    <row r="22" spans="2:6">
      <c r="B22" s="2" t="s">
        <v>25</v>
      </c>
      <c r="C22" s="1">
        <f>C21*4%</f>
        <v>9560800.4200185798</v>
      </c>
      <c r="D22" s="1"/>
    </row>
    <row r="23" spans="2:6">
      <c r="B23" s="2" t="s">
        <v>26</v>
      </c>
      <c r="C23" s="1">
        <f>C21+C22</f>
        <v>248580810.92048305</v>
      </c>
      <c r="D23" s="1"/>
      <c r="E23" s="73"/>
    </row>
    <row r="24" spans="2:6">
      <c r="B24" s="2" t="s">
        <v>27</v>
      </c>
      <c r="C24" s="1">
        <f>C23*3.5%</f>
        <v>8700328.382216908</v>
      </c>
      <c r="D24" s="1"/>
    </row>
    <row r="25" spans="2:6">
      <c r="B25" s="2" t="s">
        <v>28</v>
      </c>
      <c r="C25" s="1">
        <f>C23+C24</f>
        <v>257281139.30269995</v>
      </c>
      <c r="D25" s="1"/>
    </row>
    <row r="26" spans="2:6">
      <c r="C26" s="1"/>
    </row>
    <row r="28" spans="2:6">
      <c r="B28" s="51" t="s">
        <v>29</v>
      </c>
      <c r="C28" s="2" t="s">
        <v>30</v>
      </c>
      <c r="D28" s="98" t="s">
        <v>31</v>
      </c>
    </row>
    <row r="29" spans="2:6">
      <c r="B29" s="99" t="s">
        <v>32</v>
      </c>
      <c r="C29" s="10">
        <f>'Beregning, komm.tilskudd'!B34</f>
        <v>803340</v>
      </c>
      <c r="D29" s="10">
        <f>'Beregning, komm.tilskudd'!C34</f>
        <v>371.91666666666669</v>
      </c>
    </row>
    <row r="30" spans="2:6">
      <c r="B30" s="99" t="s">
        <v>33</v>
      </c>
      <c r="C30" s="10">
        <f>'Beregning, komm.tilskudd'!B35</f>
        <v>1594896</v>
      </c>
      <c r="D30" s="10">
        <f>'Beregning, komm.tilskudd'!C35</f>
        <v>738.37777777777774</v>
      </c>
    </row>
    <row r="31" spans="2:6">
      <c r="B31" s="99" t="s">
        <v>34</v>
      </c>
      <c r="C31" s="100">
        <f>C29+C30</f>
        <v>2398236</v>
      </c>
      <c r="D31" s="219">
        <f>D29+D30</f>
        <v>1110.2944444444445</v>
      </c>
    </row>
    <row r="32" spans="2:6">
      <c r="D32" s="87"/>
    </row>
    <row r="33" spans="2:5">
      <c r="B33" s="51" t="s">
        <v>35</v>
      </c>
      <c r="D33" s="87"/>
    </row>
    <row r="34" spans="2:5">
      <c r="B34" s="99" t="s">
        <v>32</v>
      </c>
      <c r="C34" s="84">
        <f>'Beregning, komm.tilskudd'!B39*1.043</f>
        <v>122342278.95266007</v>
      </c>
      <c r="D34" s="87"/>
    </row>
    <row r="35" spans="2:5">
      <c r="B35" s="99" t="s">
        <v>33</v>
      </c>
      <c r="C35" s="84">
        <f>'Beregning, komm.tilskudd'!B40*1.043</f>
        <v>134938860.35003978</v>
      </c>
      <c r="D35" s="87"/>
    </row>
    <row r="36" spans="2:5">
      <c r="B36" s="99" t="s">
        <v>34</v>
      </c>
      <c r="C36" s="101">
        <f>C34+C35</f>
        <v>257281139.30269986</v>
      </c>
      <c r="D36" s="87"/>
    </row>
    <row r="37" spans="2:5">
      <c r="C37" s="87"/>
      <c r="D37" s="87"/>
      <c r="E37" s="118"/>
    </row>
    <row r="38" spans="2:5">
      <c r="B38" s="51" t="s">
        <v>36</v>
      </c>
      <c r="C38" s="98"/>
      <c r="D38" s="87"/>
    </row>
    <row r="39" spans="2:5">
      <c r="B39" s="99" t="s">
        <v>37</v>
      </c>
      <c r="C39" s="84">
        <f>'Beregning, komm.tilskudd'!B43</f>
        <v>5956521.9465909144</v>
      </c>
      <c r="D39" s="87"/>
    </row>
    <row r="40" spans="2:5">
      <c r="B40" s="99" t="s">
        <v>38</v>
      </c>
      <c r="C40" s="84">
        <f>'Beregning, komm.tilskudd'!B44</f>
        <v>11825669.114609085</v>
      </c>
      <c r="D40" s="87"/>
    </row>
    <row r="41" spans="2:5">
      <c r="B41" s="99" t="s">
        <v>39</v>
      </c>
      <c r="C41" s="41">
        <f>C39+C40</f>
        <v>17782191.0612</v>
      </c>
      <c r="D41" s="87"/>
    </row>
    <row r="42" spans="2:5">
      <c r="C42" s="77"/>
    </row>
    <row r="43" spans="2:5">
      <c r="B43" s="51" t="s">
        <v>40</v>
      </c>
      <c r="C43" s="87"/>
    </row>
    <row r="44" spans="2:5">
      <c r="B44" s="99" t="s">
        <v>41</v>
      </c>
      <c r="C44" s="41">
        <f>C34-C39</f>
        <v>116385757.00606915</v>
      </c>
    </row>
    <row r="45" spans="2:5">
      <c r="B45" s="99" t="s">
        <v>42</v>
      </c>
      <c r="C45" s="41">
        <f>C35-C40</f>
        <v>123113191.23543069</v>
      </c>
    </row>
    <row r="46" spans="2:5">
      <c r="B46" s="99" t="s">
        <v>43</v>
      </c>
      <c r="C46" s="41">
        <f>C36-C41</f>
        <v>239498948.24149987</v>
      </c>
    </row>
    <row r="47" spans="2:5">
      <c r="C47" s="77"/>
    </row>
    <row r="48" spans="2:5">
      <c r="B48" s="51" t="s">
        <v>44</v>
      </c>
    </row>
    <row r="49" spans="2:3">
      <c r="B49" s="99" t="s">
        <v>32</v>
      </c>
      <c r="C49" s="102">
        <f>C44/D29</f>
        <v>312935.04012386955</v>
      </c>
    </row>
    <row r="50" spans="2:3">
      <c r="B50" s="99" t="s">
        <v>33</v>
      </c>
      <c r="C50" s="102">
        <f>C45/D30</f>
        <v>166734.6918347844</v>
      </c>
    </row>
  </sheetData>
  <sheetProtection algorithmName="SHA-512" hashValue="fKmjuNtwUHMe5lnuMss4EfaO2qUFcKon2OYz1dpzuO93EnYzC/sUmgqbtL0kzlVR7zoGnUH7l99npAVip+FeOQ==" saltValue="68tr3l9wFtHHwAFAEMEZLg==" spinCount="100000" sheet="1" objects="1" scenarios="1"/>
  <pageMargins left="0.7" right="0.7" top="0.75" bottom="0.75" header="0.3" footer="0.3"/>
  <pageSetup paperSize="9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B7:N49"/>
  <sheetViews>
    <sheetView showRowColHeaders="0" tabSelected="1" zoomScaleNormal="100" workbookViewId="0">
      <selection activeCell="C29" sqref="C29"/>
    </sheetView>
  </sheetViews>
  <sheetFormatPr defaultColWidth="10.7109375" defaultRowHeight="12.75"/>
  <cols>
    <col min="1" max="16384" width="10.7109375" style="11"/>
  </cols>
  <sheetData>
    <row r="7" spans="2:2">
      <c r="B7" s="263"/>
    </row>
    <row r="8" spans="2:2">
      <c r="B8" s="263"/>
    </row>
    <row r="9" spans="2:2">
      <c r="B9" s="263"/>
    </row>
    <row r="10" spans="2:2">
      <c r="B10" s="263"/>
    </row>
    <row r="11" spans="2:2">
      <c r="B11" s="263"/>
    </row>
    <row r="12" spans="2:2">
      <c r="B12" s="263"/>
    </row>
    <row r="29" spans="2:13">
      <c r="B29" s="12" t="s">
        <v>45</v>
      </c>
      <c r="C29" s="42">
        <f ca="1">TODAY()</f>
        <v>45954</v>
      </c>
      <c r="E29" s="12" t="s">
        <v>46</v>
      </c>
      <c r="F29" s="9" t="s">
        <v>47</v>
      </c>
      <c r="G29" s="9"/>
      <c r="H29" s="9"/>
      <c r="I29" s="9"/>
      <c r="J29" s="9"/>
      <c r="K29" s="9"/>
      <c r="L29" s="9"/>
      <c r="M29" s="9"/>
    </row>
    <row r="31" spans="2:13">
      <c r="E31" s="12" t="s">
        <v>48</v>
      </c>
      <c r="F31" t="s">
        <v>49</v>
      </c>
      <c r="G31" s="9"/>
      <c r="H31" s="9"/>
      <c r="I31" s="9"/>
      <c r="J31" s="9"/>
      <c r="K31" s="9"/>
      <c r="L31" s="9"/>
      <c r="M31" s="9"/>
    </row>
    <row r="33" spans="2:14" ht="26.25">
      <c r="B33" s="43" t="s">
        <v>50</v>
      </c>
      <c r="D33" s="30"/>
    </row>
    <row r="35" spans="2:14" ht="12.75" customHeight="1">
      <c r="B35" s="44" t="s">
        <v>51</v>
      </c>
      <c r="C35" s="45"/>
      <c r="D35" s="45"/>
      <c r="E35" s="45"/>
      <c r="F35" s="258" t="s">
        <v>52</v>
      </c>
      <c r="G35" s="258"/>
      <c r="H35" s="258" t="s">
        <v>53</v>
      </c>
      <c r="I35" s="258"/>
      <c r="J35" s="259" t="s">
        <v>54</v>
      </c>
      <c r="K35" s="260"/>
      <c r="L35" s="259" t="s">
        <v>55</v>
      </c>
      <c r="M35" s="260"/>
    </row>
    <row r="36" spans="2:14">
      <c r="B36" s="46" t="s">
        <v>56</v>
      </c>
      <c r="C36" s="47"/>
      <c r="D36" s="47"/>
      <c r="E36" s="47"/>
      <c r="F36" s="48" t="s">
        <v>57</v>
      </c>
      <c r="G36" s="48" t="s">
        <v>58</v>
      </c>
      <c r="H36" s="48" t="s">
        <v>57</v>
      </c>
      <c r="I36" s="48" t="s">
        <v>58</v>
      </c>
      <c r="J36" s="261"/>
      <c r="K36" s="262"/>
      <c r="L36" s="261"/>
      <c r="M36" s="262"/>
    </row>
    <row r="37" spans="2:14">
      <c r="B37" s="62" t="s">
        <v>59</v>
      </c>
      <c r="C37" s="45"/>
      <c r="D37" s="45"/>
      <c r="E37" s="63"/>
      <c r="F37" s="60">
        <f>'Beregning, komm.tilskudd'!C51+'Beregning, komm.tilskudd'!C55</f>
        <v>144.87733339068035</v>
      </c>
      <c r="G37" s="60">
        <f>G43/45/48</f>
        <v>151.15740740740742</v>
      </c>
      <c r="H37" s="60"/>
      <c r="I37" s="60">
        <f>'Beregning, komm.tilskudd'!C59</f>
        <v>0</v>
      </c>
      <c r="J37" s="264">
        <f>F37+I37</f>
        <v>144.87733339068035</v>
      </c>
      <c r="K37" s="265"/>
      <c r="L37" s="264">
        <f>G37+I37-J37</f>
        <v>6.2800740167270703</v>
      </c>
      <c r="M37" s="265"/>
      <c r="N37" s="49"/>
    </row>
    <row r="38" spans="2:14">
      <c r="B38" s="64" t="s">
        <v>60</v>
      </c>
      <c r="C38" s="47"/>
      <c r="D38" s="47"/>
      <c r="E38" s="65"/>
      <c r="F38" s="60">
        <f>'Beregning, komm.tilskudd'!C52+'Beregning, komm.tilskudd'!C56</f>
        <v>77.191986960548334</v>
      </c>
      <c r="G38" s="60">
        <f>G44/45/48</f>
        <v>80.370370370370367</v>
      </c>
      <c r="H38" s="60">
        <f>H37</f>
        <v>0</v>
      </c>
      <c r="I38" s="60">
        <f>'Beregning, komm.tilskudd'!C60</f>
        <v>0</v>
      </c>
      <c r="J38" s="264">
        <f>F38+I38</f>
        <v>77.191986960548334</v>
      </c>
      <c r="K38" s="265"/>
      <c r="L38" s="264">
        <f>G38+I38-J38</f>
        <v>3.1783834098220325</v>
      </c>
      <c r="M38" s="265"/>
    </row>
    <row r="41" spans="2:14">
      <c r="B41" s="44" t="s">
        <v>51</v>
      </c>
      <c r="C41" s="45"/>
      <c r="D41" s="45"/>
      <c r="E41" s="45"/>
      <c r="F41" s="258" t="s">
        <v>52</v>
      </c>
      <c r="G41" s="258"/>
      <c r="H41" s="258" t="s">
        <v>53</v>
      </c>
      <c r="I41" s="258"/>
      <c r="J41" s="259" t="s">
        <v>61</v>
      </c>
      <c r="K41" s="260"/>
      <c r="L41" s="259" t="s">
        <v>55</v>
      </c>
      <c r="M41" s="260"/>
    </row>
    <row r="42" spans="2:14">
      <c r="B42" s="53" t="s">
        <v>62</v>
      </c>
      <c r="C42" s="47"/>
      <c r="D42" s="47"/>
      <c r="E42" s="47"/>
      <c r="F42" s="48" t="s">
        <v>57</v>
      </c>
      <c r="G42" s="48" t="s">
        <v>58</v>
      </c>
      <c r="H42" s="48" t="s">
        <v>57</v>
      </c>
      <c r="I42" s="48" t="s">
        <v>58</v>
      </c>
      <c r="J42" s="261"/>
      <c r="K42" s="262"/>
      <c r="L42" s="261"/>
      <c r="M42" s="262"/>
    </row>
    <row r="43" spans="2:14">
      <c r="B43" s="66" t="s">
        <v>59</v>
      </c>
      <c r="C43" s="67"/>
      <c r="D43" s="68"/>
      <c r="E43" s="63"/>
      <c r="F43" s="61">
        <f>F37*2160</f>
        <v>312935.04012386955</v>
      </c>
      <c r="G43" s="61">
        <f>'Beregning, komm.tilskudd'!C63-'Beregning, komm.tilskudd'!B59</f>
        <v>326500</v>
      </c>
      <c r="H43" s="61">
        <f>H37*2160</f>
        <v>0</v>
      </c>
      <c r="I43" s="61">
        <f>'Beregning, komm.tilskudd'!B59</f>
        <v>0</v>
      </c>
      <c r="J43" s="266">
        <f>F43+I43</f>
        <v>312935.04012386955</v>
      </c>
      <c r="K43" s="266"/>
      <c r="L43" s="267">
        <f>G43+I43-J43</f>
        <v>13564.959876130451</v>
      </c>
      <c r="M43" s="267"/>
      <c r="N43" s="49"/>
    </row>
    <row r="44" spans="2:14">
      <c r="B44" s="69" t="s">
        <v>60</v>
      </c>
      <c r="C44" s="70"/>
      <c r="D44" s="71"/>
      <c r="E44" s="72"/>
      <c r="F44" s="61">
        <f>F38*2160</f>
        <v>166734.6918347844</v>
      </c>
      <c r="G44" s="61">
        <f>'Beregning, komm.tilskudd'!C64-'Beregning, komm.tilskudd'!B60</f>
        <v>173600</v>
      </c>
      <c r="H44" s="61">
        <f>H38*2160</f>
        <v>0</v>
      </c>
      <c r="I44" s="61">
        <f>'Beregning, komm.tilskudd'!B60</f>
        <v>0</v>
      </c>
      <c r="J44" s="266">
        <f>F44+I44</f>
        <v>166734.6918347844</v>
      </c>
      <c r="K44" s="266"/>
      <c r="L44" s="267">
        <f>G44+I44-J44</f>
        <v>6865.3081652155961</v>
      </c>
      <c r="M44" s="267"/>
    </row>
    <row r="46" spans="2:14">
      <c r="B46" s="14" t="s">
        <v>63</v>
      </c>
    </row>
    <row r="48" spans="2:14">
      <c r="B48" s="91"/>
      <c r="C48" s="45"/>
      <c r="D48" s="45"/>
      <c r="E48" s="63"/>
      <c r="F48" s="92">
        <v>2025</v>
      </c>
      <c r="G48" s="92">
        <f>F48+1</f>
        <v>2026</v>
      </c>
    </row>
    <row r="49" spans="2:7" ht="15.75">
      <c r="B49" s="93" t="s">
        <v>64</v>
      </c>
      <c r="C49" s="47"/>
      <c r="D49" s="47"/>
      <c r="E49" s="65"/>
      <c r="F49" s="173">
        <v>1.04</v>
      </c>
      <c r="G49" s="173">
        <v>1.0349999999999999</v>
      </c>
    </row>
  </sheetData>
  <sheetProtection algorithmName="SHA-512" hashValue="Dzq3zZWWvayU5x/07sLL9esRektmmSuO1I7s52KuorWPAJgOePhadFNT3S1Cf3MTApz21E+afCQBQhu5g43bRg==" saltValue="YIdBJBz/mdy4DKGIDbbjXw==" spinCount="100000" sheet="1" objects="1" scenarios="1"/>
  <mergeCells count="17">
    <mergeCell ref="L35:M36"/>
    <mergeCell ref="L37:M37"/>
    <mergeCell ref="L38:M38"/>
    <mergeCell ref="L41:M42"/>
    <mergeCell ref="J44:K44"/>
    <mergeCell ref="L44:M44"/>
    <mergeCell ref="J43:K43"/>
    <mergeCell ref="L43:M43"/>
    <mergeCell ref="F41:G41"/>
    <mergeCell ref="H41:I41"/>
    <mergeCell ref="J41:K42"/>
    <mergeCell ref="B7:B12"/>
    <mergeCell ref="F35:G35"/>
    <mergeCell ref="H35:I35"/>
    <mergeCell ref="J35:K36"/>
    <mergeCell ref="J38:K38"/>
    <mergeCell ref="J37:K37"/>
  </mergeCells>
  <phoneticPr fontId="25" type="noConversion"/>
  <pageMargins left="0.7" right="0.7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AE321"/>
  <sheetViews>
    <sheetView zoomScale="90" zoomScaleNormal="90" workbookViewId="0">
      <pane ySplit="4" topLeftCell="A5" activePane="bottomLeft" state="frozen"/>
      <selection pane="bottomLeft" activeCell="C40" sqref="C40"/>
      <selection activeCell="E36" sqref="E36"/>
    </sheetView>
  </sheetViews>
  <sheetFormatPr defaultColWidth="9.140625" defaultRowHeight="12.75"/>
  <cols>
    <col min="1" max="1" width="51.140625" style="14" bestFit="1" customWidth="1"/>
    <col min="2" max="3" width="13.7109375" style="4" customWidth="1"/>
    <col min="4" max="12" width="13.7109375" style="1" customWidth="1"/>
    <col min="13" max="13" width="14.85546875" style="137" customWidth="1"/>
    <col min="14" max="31" width="9.140625" style="14" customWidth="1"/>
  </cols>
  <sheetData>
    <row r="1" spans="1:13"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</row>
    <row r="2" spans="1:13" ht="40.5">
      <c r="B2" s="18"/>
      <c r="C2" s="18"/>
      <c r="D2" s="20" t="s">
        <v>65</v>
      </c>
      <c r="E2" s="19"/>
      <c r="F2" s="19"/>
      <c r="G2" s="19"/>
      <c r="H2" s="19"/>
      <c r="I2" s="19"/>
      <c r="J2" s="19"/>
      <c r="K2" s="19"/>
      <c r="L2" s="19"/>
    </row>
    <row r="3" spans="1:13">
      <c r="B3" s="18"/>
      <c r="C3" s="18"/>
      <c r="D3" s="19"/>
      <c r="E3" s="19"/>
      <c r="F3" s="19"/>
      <c r="G3" s="19"/>
      <c r="H3" s="19"/>
      <c r="I3" s="19"/>
      <c r="J3" s="19"/>
      <c r="K3" s="19"/>
      <c r="L3" s="19"/>
    </row>
    <row r="4" spans="1:13" ht="13.5" thickBot="1">
      <c r="B4" s="18"/>
      <c r="C4" s="18"/>
      <c r="D4" s="19"/>
      <c r="E4" s="19"/>
      <c r="F4" s="19"/>
      <c r="G4" s="19"/>
      <c r="H4" s="19"/>
      <c r="I4" s="19"/>
      <c r="J4" s="19"/>
      <c r="K4" s="19"/>
      <c r="L4" s="19"/>
    </row>
    <row r="5" spans="1:13" s="16" customFormat="1">
      <c r="A5" s="96" t="s">
        <v>66</v>
      </c>
      <c r="B5" s="21" t="s">
        <v>67</v>
      </c>
      <c r="C5" s="21" t="s">
        <v>68</v>
      </c>
      <c r="D5" s="21" t="s">
        <v>69</v>
      </c>
      <c r="E5" s="21" t="s">
        <v>70</v>
      </c>
      <c r="F5" s="21" t="s">
        <v>71</v>
      </c>
      <c r="G5" s="21" t="s">
        <v>72</v>
      </c>
      <c r="H5" s="21" t="s">
        <v>73</v>
      </c>
      <c r="I5" s="21" t="s">
        <v>74</v>
      </c>
      <c r="J5" s="21" t="s">
        <v>75</v>
      </c>
      <c r="K5" s="21" t="s">
        <v>76</v>
      </c>
      <c r="L5" s="21" t="s">
        <v>77</v>
      </c>
      <c r="M5" s="138"/>
    </row>
    <row r="6" spans="1:13" s="23" customFormat="1" ht="78" customHeight="1">
      <c r="A6" s="17" t="s">
        <v>78</v>
      </c>
      <c r="B6" s="22" t="s">
        <v>79</v>
      </c>
      <c r="C6" s="22" t="s">
        <v>80</v>
      </c>
      <c r="D6" s="22" t="s">
        <v>81</v>
      </c>
      <c r="E6" s="22" t="s">
        <v>82</v>
      </c>
      <c r="F6" s="22" t="s">
        <v>83</v>
      </c>
      <c r="G6" s="22" t="s">
        <v>84</v>
      </c>
      <c r="H6" s="22" t="s">
        <v>85</v>
      </c>
      <c r="I6" s="22" t="s">
        <v>86</v>
      </c>
      <c r="J6" s="22" t="s">
        <v>87</v>
      </c>
      <c r="K6" s="22" t="s">
        <v>88</v>
      </c>
      <c r="L6" s="22" t="s">
        <v>89</v>
      </c>
      <c r="M6" s="139" t="s">
        <v>90</v>
      </c>
    </row>
    <row r="7" spans="1:13">
      <c r="A7" s="15" t="s">
        <v>91</v>
      </c>
      <c r="B7" s="231">
        <v>682.68</v>
      </c>
      <c r="C7" s="231">
        <v>2525817.0499999998</v>
      </c>
      <c r="D7" s="134"/>
      <c r="E7" s="134">
        <v>-682.68</v>
      </c>
      <c r="F7" s="134"/>
      <c r="G7" s="134">
        <f t="shared" ref="G7:G50" si="0">C7*-1</f>
        <v>-2525817.0499999998</v>
      </c>
      <c r="H7" s="134"/>
      <c r="I7" s="134"/>
      <c r="J7" s="24">
        <f t="shared" ref="J7:J48" si="1">SUM(B7:I7)</f>
        <v>0</v>
      </c>
      <c r="K7" s="134"/>
      <c r="L7" s="134"/>
      <c r="M7" s="137">
        <f>B7+C7+D7+K7+L7</f>
        <v>2526499.73</v>
      </c>
    </row>
    <row r="8" spans="1:13">
      <c r="A8" s="15" t="s">
        <v>92</v>
      </c>
      <c r="B8" s="231">
        <v>227.56</v>
      </c>
      <c r="C8" s="231"/>
      <c r="D8" s="134"/>
      <c r="E8" s="134">
        <v>-227.56</v>
      </c>
      <c r="F8" s="134"/>
      <c r="G8" s="134">
        <f t="shared" si="0"/>
        <v>0</v>
      </c>
      <c r="H8" s="134"/>
      <c r="I8" s="134"/>
      <c r="J8" s="24">
        <f t="shared" si="1"/>
        <v>0</v>
      </c>
      <c r="K8" s="134"/>
      <c r="L8" s="134"/>
      <c r="M8" s="137">
        <f t="shared" ref="M8:M13" si="2">B8+C8+D8+K8+L8</f>
        <v>227.56</v>
      </c>
    </row>
    <row r="9" spans="1:13">
      <c r="A9" s="15" t="s">
        <v>93</v>
      </c>
      <c r="B9" s="231">
        <v>22285.3</v>
      </c>
      <c r="C9" s="231">
        <v>235.48</v>
      </c>
      <c r="D9" s="134"/>
      <c r="E9" s="134">
        <v>-22285.3</v>
      </c>
      <c r="F9" s="134"/>
      <c r="G9" s="134">
        <f t="shared" si="0"/>
        <v>-235.48</v>
      </c>
      <c r="H9" s="134"/>
      <c r="I9" s="134"/>
      <c r="J9" s="24">
        <f t="shared" si="1"/>
        <v>-4.2632564145606011E-13</v>
      </c>
      <c r="K9" s="134"/>
      <c r="L9" s="134"/>
      <c r="M9" s="137">
        <f t="shared" si="2"/>
        <v>22520.78</v>
      </c>
    </row>
    <row r="10" spans="1:13">
      <c r="A10" s="15" t="s">
        <v>94</v>
      </c>
      <c r="B10" s="231">
        <v>2389.34</v>
      </c>
      <c r="C10" s="231"/>
      <c r="D10" s="134"/>
      <c r="E10" s="134"/>
      <c r="F10" s="134"/>
      <c r="G10" s="134">
        <f t="shared" si="0"/>
        <v>0</v>
      </c>
      <c r="H10" s="134"/>
      <c r="I10" s="134"/>
      <c r="J10" s="24">
        <f t="shared" si="1"/>
        <v>2389.34</v>
      </c>
      <c r="K10" s="134"/>
      <c r="L10" s="134"/>
      <c r="M10" s="137">
        <f t="shared" si="2"/>
        <v>2389.34</v>
      </c>
    </row>
    <row r="11" spans="1:13">
      <c r="A11" s="15" t="s">
        <v>95</v>
      </c>
      <c r="B11" s="231">
        <v>750</v>
      </c>
      <c r="C11" s="231"/>
      <c r="D11" s="134"/>
      <c r="E11" s="134">
        <v>-750</v>
      </c>
      <c r="F11" s="134"/>
      <c r="G11" s="134">
        <f t="shared" si="0"/>
        <v>0</v>
      </c>
      <c r="H11" s="134"/>
      <c r="I11" s="134"/>
      <c r="J11" s="24">
        <f t="shared" si="1"/>
        <v>0</v>
      </c>
      <c r="K11" s="134"/>
      <c r="L11" s="134"/>
      <c r="M11" s="137">
        <f t="shared" si="2"/>
        <v>750</v>
      </c>
    </row>
    <row r="12" spans="1:13">
      <c r="A12" s="15" t="s">
        <v>96</v>
      </c>
      <c r="B12" s="231">
        <v>304</v>
      </c>
      <c r="C12" s="231"/>
      <c r="D12" s="134"/>
      <c r="E12" s="134">
        <v>-304</v>
      </c>
      <c r="F12" s="134"/>
      <c r="G12" s="134">
        <f t="shared" si="0"/>
        <v>0</v>
      </c>
      <c r="H12" s="134"/>
      <c r="I12" s="134"/>
      <c r="J12" s="24">
        <f t="shared" si="1"/>
        <v>0</v>
      </c>
      <c r="K12" s="134"/>
      <c r="L12" s="134"/>
      <c r="M12" s="137">
        <f t="shared" si="2"/>
        <v>304</v>
      </c>
    </row>
    <row r="13" spans="1:13">
      <c r="A13" s="15" t="s">
        <v>97</v>
      </c>
      <c r="B13" s="231">
        <v>55822.76</v>
      </c>
      <c r="C13" s="231"/>
      <c r="D13" s="134"/>
      <c r="E13" s="134">
        <v>-55822.76</v>
      </c>
      <c r="F13" s="134"/>
      <c r="G13" s="134">
        <f t="shared" si="0"/>
        <v>0</v>
      </c>
      <c r="H13" s="134"/>
      <c r="I13" s="134"/>
      <c r="J13" s="24">
        <f t="shared" si="1"/>
        <v>0</v>
      </c>
      <c r="K13" s="134"/>
      <c r="L13" s="134"/>
      <c r="M13" s="137">
        <f t="shared" si="2"/>
        <v>55822.76</v>
      </c>
    </row>
    <row r="14" spans="1:13">
      <c r="A14" s="15" t="s">
        <v>98</v>
      </c>
      <c r="B14" s="231"/>
      <c r="C14" s="231">
        <v>-77920.070000000007</v>
      </c>
      <c r="D14" s="134"/>
      <c r="E14" s="134"/>
      <c r="F14" s="134"/>
      <c r="G14" s="134">
        <f t="shared" si="0"/>
        <v>77920.070000000007</v>
      </c>
      <c r="H14" s="134"/>
      <c r="I14" s="134"/>
      <c r="J14" s="24">
        <f t="shared" si="1"/>
        <v>0</v>
      </c>
      <c r="K14" s="134"/>
      <c r="L14" s="134"/>
      <c r="M14" s="137">
        <f t="shared" ref="M14:M52" si="3">B14+C14+D14+K14+L14</f>
        <v>-77920.070000000007</v>
      </c>
    </row>
    <row r="15" spans="1:13">
      <c r="A15" s="15" t="s">
        <v>99</v>
      </c>
      <c r="B15" s="231">
        <v>1600917.51</v>
      </c>
      <c r="C15" s="231">
        <v>-300000</v>
      </c>
      <c r="D15" s="134">
        <v>207776.6</v>
      </c>
      <c r="E15" s="134"/>
      <c r="F15" s="134">
        <v>-66909.638696035196</v>
      </c>
      <c r="G15" s="134">
        <f t="shared" si="0"/>
        <v>300000</v>
      </c>
      <c r="H15" s="134">
        <v>-47407.294900000001</v>
      </c>
      <c r="I15" s="134">
        <v>46113.687291000009</v>
      </c>
      <c r="J15" s="24">
        <f>SUM(B15:I15)</f>
        <v>1740490.8636949649</v>
      </c>
      <c r="K15" s="134">
        <v>5026862</v>
      </c>
      <c r="L15" s="134">
        <v>-753938</v>
      </c>
      <c r="M15" s="137">
        <f>B15+C15+D15+K15+L15</f>
        <v>5781618.1100000003</v>
      </c>
    </row>
    <row r="16" spans="1:13">
      <c r="A16" s="15" t="s">
        <v>100</v>
      </c>
      <c r="B16" s="231">
        <v>6460822.6199999982</v>
      </c>
      <c r="C16" s="231">
        <v>60518.03</v>
      </c>
      <c r="D16" s="134">
        <v>28945.960000000003</v>
      </c>
      <c r="E16" s="134"/>
      <c r="F16" s="134"/>
      <c r="G16" s="134">
        <f t="shared" si="0"/>
        <v>-60518.03</v>
      </c>
      <c r="H16" s="134">
        <v>-534779.8311800001</v>
      </c>
      <c r="I16" s="134">
        <v>582602.22073900036</v>
      </c>
      <c r="J16" s="24">
        <f>SUM(B16:I16)</f>
        <v>6537590.9695589989</v>
      </c>
      <c r="K16" s="134">
        <v>-1473345</v>
      </c>
      <c r="L16" s="134">
        <v>-75480</v>
      </c>
      <c r="M16" s="137">
        <f>B16+C16+D16+K16+L16</f>
        <v>5001461.6099999985</v>
      </c>
    </row>
    <row r="17" spans="1:13">
      <c r="A17" s="15" t="s">
        <v>101</v>
      </c>
      <c r="B17" s="231">
        <v>6900851.5999999987</v>
      </c>
      <c r="C17" s="231">
        <v>-971.91000000000349</v>
      </c>
      <c r="D17" s="134">
        <v>23653.190000000002</v>
      </c>
      <c r="E17" s="134"/>
      <c r="F17" s="134"/>
      <c r="G17" s="134">
        <f t="shared" si="0"/>
        <v>971.91000000000349</v>
      </c>
      <c r="H17" s="134">
        <v>-607367.48996000015</v>
      </c>
      <c r="I17" s="134">
        <v>650459.56279500027</v>
      </c>
      <c r="J17" s="24">
        <f>SUM(B17:I17)</f>
        <v>6967596.8628349993</v>
      </c>
      <c r="K17" s="134">
        <v>-1079775</v>
      </c>
      <c r="L17" s="134">
        <v>-217000</v>
      </c>
      <c r="M17" s="137">
        <f>B17+C17+D17+K17+L17</f>
        <v>5626757.879999999</v>
      </c>
    </row>
    <row r="18" spans="1:13">
      <c r="A18" s="15" t="s">
        <v>102</v>
      </c>
      <c r="B18" s="231">
        <v>8468148.1200000029</v>
      </c>
      <c r="C18" s="231">
        <v>285297</v>
      </c>
      <c r="D18" s="134">
        <v>20204.400000000001</v>
      </c>
      <c r="E18" s="134"/>
      <c r="F18" s="134"/>
      <c r="G18" s="134">
        <f t="shared" si="0"/>
        <v>-285297</v>
      </c>
      <c r="H18" s="134">
        <v>-749426.93048999994</v>
      </c>
      <c r="I18" s="134">
        <v>812369.64096400014</v>
      </c>
      <c r="J18" s="24">
        <f t="shared" si="1"/>
        <v>8551295.2304740027</v>
      </c>
      <c r="K18" s="169">
        <v>-1322870</v>
      </c>
      <c r="L18" s="134">
        <v>-263212.48</v>
      </c>
      <c r="M18" s="137">
        <f t="shared" si="3"/>
        <v>7187567.0400000028</v>
      </c>
    </row>
    <row r="19" spans="1:13">
      <c r="A19" s="15" t="s">
        <v>103</v>
      </c>
      <c r="B19" s="231">
        <v>8515885.3399999999</v>
      </c>
      <c r="C19" s="231">
        <v>1401912.2200000002</v>
      </c>
      <c r="D19" s="134">
        <v>27002.6</v>
      </c>
      <c r="E19" s="134"/>
      <c r="F19" s="134"/>
      <c r="G19" s="134">
        <f t="shared" si="0"/>
        <v>-1401912.2200000002</v>
      </c>
      <c r="H19" s="134">
        <v>-803816.34669000015</v>
      </c>
      <c r="I19" s="134">
        <v>879398.48352299992</v>
      </c>
      <c r="J19" s="24">
        <f t="shared" si="1"/>
        <v>8618470.0768329985</v>
      </c>
      <c r="K19" s="134">
        <v>-1213200</v>
      </c>
      <c r="L19" s="134">
        <v>-194575</v>
      </c>
      <c r="M19" s="137">
        <f t="shared" si="3"/>
        <v>8537025.1600000001</v>
      </c>
    </row>
    <row r="20" spans="1:13">
      <c r="A20" s="15" t="s">
        <v>104</v>
      </c>
      <c r="B20" s="231">
        <v>14807336.030000003</v>
      </c>
      <c r="C20" s="231">
        <v>3736990.3</v>
      </c>
      <c r="D20" s="134">
        <v>59330.16</v>
      </c>
      <c r="E20" s="134"/>
      <c r="F20" s="134"/>
      <c r="G20" s="134">
        <f t="shared" si="0"/>
        <v>-3736990.3</v>
      </c>
      <c r="H20" s="134">
        <v>-1237933.06168</v>
      </c>
      <c r="I20" s="134">
        <v>1360911.0685800004</v>
      </c>
      <c r="J20" s="24">
        <f t="shared" si="1"/>
        <v>14989644.196900001</v>
      </c>
      <c r="K20" s="134">
        <v>-2420451</v>
      </c>
      <c r="L20" s="134">
        <v>-438288.87</v>
      </c>
      <c r="M20" s="137">
        <f>B20+C20+D20+K20+L20</f>
        <v>15744916.620000003</v>
      </c>
    </row>
    <row r="21" spans="1:13">
      <c r="A21" s="15" t="s">
        <v>105</v>
      </c>
      <c r="B21" s="231">
        <v>12683924.670000004</v>
      </c>
      <c r="C21" s="231">
        <v>2041982.5899999999</v>
      </c>
      <c r="D21" s="134">
        <v>111226.45</v>
      </c>
      <c r="E21" s="134"/>
      <c r="F21" s="134"/>
      <c r="G21" s="134">
        <f t="shared" si="0"/>
        <v>-2041982.5899999999</v>
      </c>
      <c r="H21" s="134">
        <v>-1146482.9043500002</v>
      </c>
      <c r="I21" s="134">
        <v>1270089.9742160002</v>
      </c>
      <c r="J21" s="24">
        <f t="shared" si="1"/>
        <v>12918758.189866003</v>
      </c>
      <c r="K21" s="134">
        <v>-2146924</v>
      </c>
      <c r="L21" s="134">
        <f>-349114.47+350</f>
        <v>-348764.47</v>
      </c>
      <c r="M21" s="137">
        <f t="shared" si="3"/>
        <v>12341445.240000002</v>
      </c>
    </row>
    <row r="22" spans="1:13">
      <c r="A22" s="15" t="s">
        <v>106</v>
      </c>
      <c r="B22" s="231">
        <v>6678717.5400000019</v>
      </c>
      <c r="C22" s="231">
        <v>4568347.6800000025</v>
      </c>
      <c r="D22" s="134">
        <v>15341.919999999998</v>
      </c>
      <c r="E22" s="134"/>
      <c r="F22" s="134"/>
      <c r="G22" s="134">
        <f t="shared" si="0"/>
        <v>-4568347.6800000025</v>
      </c>
      <c r="H22" s="134">
        <v>-633804.16330000001</v>
      </c>
      <c r="I22" s="134">
        <v>689610.9411099999</v>
      </c>
      <c r="J22" s="24">
        <f t="shared" si="1"/>
        <v>6749866.2378100017</v>
      </c>
      <c r="K22" s="134">
        <v>-1149522</v>
      </c>
      <c r="L22" s="134">
        <v>-67000</v>
      </c>
      <c r="M22" s="137">
        <f t="shared" si="3"/>
        <v>10045885.140000004</v>
      </c>
    </row>
    <row r="23" spans="1:13">
      <c r="A23" s="15" t="s">
        <v>107</v>
      </c>
      <c r="B23" s="231">
        <v>12674881.26</v>
      </c>
      <c r="C23" s="231">
        <v>532295.96</v>
      </c>
      <c r="D23" s="134">
        <v>25720.48</v>
      </c>
      <c r="E23" s="134"/>
      <c r="F23" s="134"/>
      <c r="G23" s="134">
        <f t="shared" si="0"/>
        <v>-532295.96</v>
      </c>
      <c r="H23" s="134">
        <v>-1058321.7137500001</v>
      </c>
      <c r="I23" s="134">
        <v>1182414.6122880003</v>
      </c>
      <c r="J23" s="24">
        <f t="shared" si="1"/>
        <v>12824694.638537997</v>
      </c>
      <c r="K23" s="134">
        <v>-1940166</v>
      </c>
      <c r="L23" s="134">
        <v>-360215.4</v>
      </c>
      <c r="M23" s="137">
        <f>B23+C23+D23+K23+L23</f>
        <v>10932516.299999999</v>
      </c>
    </row>
    <row r="24" spans="1:13">
      <c r="A24" s="15" t="s">
        <v>108</v>
      </c>
      <c r="B24" s="231">
        <v>5095659.6000000015</v>
      </c>
      <c r="C24" s="231">
        <v>2323821.4500000007</v>
      </c>
      <c r="D24" s="134">
        <v>29027.940000000002</v>
      </c>
      <c r="E24" s="134"/>
      <c r="F24" s="134"/>
      <c r="G24" s="134">
        <f t="shared" si="0"/>
        <v>-2323821.4500000007</v>
      </c>
      <c r="H24" s="134">
        <v>-433320.09160999994</v>
      </c>
      <c r="I24" s="134">
        <v>480406.16990800004</v>
      </c>
      <c r="J24" s="24">
        <f t="shared" si="1"/>
        <v>5171773.6182980035</v>
      </c>
      <c r="K24" s="134">
        <v>-805170</v>
      </c>
      <c r="L24" s="134">
        <v>-234000</v>
      </c>
      <c r="M24" s="137">
        <f t="shared" si="3"/>
        <v>6409338.990000003</v>
      </c>
    </row>
    <row r="25" spans="1:13">
      <c r="A25" s="15" t="s">
        <v>109</v>
      </c>
      <c r="B25" s="231">
        <v>12591966.539999995</v>
      </c>
      <c r="C25" s="231">
        <v>1256322.0199999998</v>
      </c>
      <c r="D25" s="134">
        <v>36703.26</v>
      </c>
      <c r="E25" s="134"/>
      <c r="F25" s="134"/>
      <c r="G25" s="134">
        <f t="shared" si="0"/>
        <v>-1256322.0199999998</v>
      </c>
      <c r="H25" s="134">
        <v>-1016644.4638000001</v>
      </c>
      <c r="I25" s="134">
        <v>1103698.9882310003</v>
      </c>
      <c r="J25" s="24">
        <f t="shared" si="1"/>
        <v>12715724.324430995</v>
      </c>
      <c r="K25" s="134">
        <v>-2012504</v>
      </c>
      <c r="L25" s="134">
        <v>-370846.4</v>
      </c>
      <c r="M25" s="137">
        <f t="shared" si="3"/>
        <v>11501641.419999994</v>
      </c>
    </row>
    <row r="26" spans="1:13">
      <c r="A26" s="15" t="s">
        <v>110</v>
      </c>
      <c r="B26" s="231">
        <v>10805428.700000001</v>
      </c>
      <c r="C26" s="231">
        <v>1012752.01</v>
      </c>
      <c r="D26" s="134">
        <v>3759.9300000000003</v>
      </c>
      <c r="E26" s="134"/>
      <c r="F26" s="134"/>
      <c r="G26" s="134">
        <f t="shared" si="0"/>
        <v>-1012752.01</v>
      </c>
      <c r="H26" s="134">
        <v>-867400.28318999999</v>
      </c>
      <c r="I26" s="134">
        <v>952457.149385</v>
      </c>
      <c r="J26" s="24">
        <f t="shared" si="1"/>
        <v>10894245.496195</v>
      </c>
      <c r="K26" s="134">
        <v>-1886729</v>
      </c>
      <c r="L26" s="134">
        <v>-352474.32</v>
      </c>
      <c r="M26" s="137">
        <f t="shared" si="3"/>
        <v>9582737.3200000003</v>
      </c>
    </row>
    <row r="27" spans="1:13">
      <c r="A27" s="15" t="s">
        <v>111</v>
      </c>
      <c r="B27" s="231">
        <v>14071465.109999999</v>
      </c>
      <c r="C27" s="231">
        <v>841180.19000000018</v>
      </c>
      <c r="D27" s="134">
        <v>105755.80000000002</v>
      </c>
      <c r="E27" s="134"/>
      <c r="F27" s="134"/>
      <c r="G27" s="134">
        <f t="shared" si="0"/>
        <v>-841180.19000000018</v>
      </c>
      <c r="H27" s="134">
        <v>-1194882.1047799999</v>
      </c>
      <c r="I27" s="134">
        <v>1316454.6678149998</v>
      </c>
      <c r="J27" s="24">
        <f t="shared" si="1"/>
        <v>14298793.473035</v>
      </c>
      <c r="K27" s="134">
        <v>-2347435</v>
      </c>
      <c r="L27" s="134">
        <v>-148900</v>
      </c>
      <c r="M27" s="137">
        <f t="shared" si="3"/>
        <v>12522066.1</v>
      </c>
    </row>
    <row r="28" spans="1:13">
      <c r="A28" s="15" t="s">
        <v>112</v>
      </c>
      <c r="B28" s="231">
        <v>10706536.500000004</v>
      </c>
      <c r="C28" s="231">
        <v>692061.53</v>
      </c>
      <c r="D28" s="134">
        <v>105687.18000000001</v>
      </c>
      <c r="E28" s="134"/>
      <c r="F28" s="134"/>
      <c r="G28" s="134">
        <f t="shared" si="0"/>
        <v>-692061.53</v>
      </c>
      <c r="H28" s="134">
        <v>-939312.65253000008</v>
      </c>
      <c r="I28" s="134">
        <v>1016914.697099</v>
      </c>
      <c r="J28" s="24">
        <f t="shared" si="1"/>
        <v>10889825.724569004</v>
      </c>
      <c r="K28" s="134">
        <v>-1855860</v>
      </c>
      <c r="L28" s="134">
        <v>-310000</v>
      </c>
      <c r="M28" s="137">
        <f t="shared" si="3"/>
        <v>9338425.2100000028</v>
      </c>
    </row>
    <row r="29" spans="1:13">
      <c r="A29" s="15" t="s">
        <v>113</v>
      </c>
      <c r="B29" s="231">
        <v>8726242.3000000007</v>
      </c>
      <c r="C29" s="231">
        <v>1024649.24</v>
      </c>
      <c r="D29" s="134">
        <v>44461.070000000007</v>
      </c>
      <c r="E29" s="134"/>
      <c r="F29" s="134"/>
      <c r="G29" s="134">
        <f t="shared" si="0"/>
        <v>-1024649.24</v>
      </c>
      <c r="H29" s="134">
        <v>-818222.57845999999</v>
      </c>
      <c r="I29" s="134">
        <v>886445.06219500001</v>
      </c>
      <c r="J29" s="24">
        <f t="shared" si="1"/>
        <v>8838925.8537349999</v>
      </c>
      <c r="K29" s="134">
        <v>-1354185</v>
      </c>
      <c r="L29" s="134">
        <v>-78000</v>
      </c>
      <c r="M29" s="137">
        <f t="shared" si="3"/>
        <v>8363167.6100000013</v>
      </c>
    </row>
    <row r="30" spans="1:13">
      <c r="A30" s="15" t="s">
        <v>114</v>
      </c>
      <c r="B30" s="231">
        <v>7247762.3500000043</v>
      </c>
      <c r="C30" s="231">
        <v>1465249.3499999999</v>
      </c>
      <c r="D30" s="134">
        <v>13276.17</v>
      </c>
      <c r="E30" s="134"/>
      <c r="F30" s="134"/>
      <c r="G30" s="134">
        <f t="shared" si="0"/>
        <v>-1465249.3499999999</v>
      </c>
      <c r="H30" s="134">
        <v>-595532.57015000004</v>
      </c>
      <c r="I30" s="134">
        <v>649638.41476100008</v>
      </c>
      <c r="J30" s="24">
        <f t="shared" si="1"/>
        <v>7315144.3646110054</v>
      </c>
      <c r="K30" s="134">
        <v>-1126886</v>
      </c>
      <c r="L30" s="134">
        <v>-126156.11</v>
      </c>
      <c r="M30" s="137">
        <f t="shared" si="3"/>
        <v>7473245.7600000044</v>
      </c>
    </row>
    <row r="31" spans="1:13">
      <c r="A31" s="15" t="s">
        <v>115</v>
      </c>
      <c r="B31" s="231">
        <v>8783054.3000000007</v>
      </c>
      <c r="C31" s="232">
        <v>1182794.94</v>
      </c>
      <c r="D31" s="134">
        <v>72927.37</v>
      </c>
      <c r="E31" s="134"/>
      <c r="F31" s="134"/>
      <c r="G31" s="134">
        <f t="shared" si="0"/>
        <v>-1182794.94</v>
      </c>
      <c r="H31" s="134">
        <v>-795301.00664000004</v>
      </c>
      <c r="I31" s="134">
        <v>859675.04342300014</v>
      </c>
      <c r="J31" s="24">
        <f t="shared" si="1"/>
        <v>8920355.7067830004</v>
      </c>
      <c r="K31" s="134">
        <v>-1461750</v>
      </c>
      <c r="L31" s="134">
        <v>-69000</v>
      </c>
      <c r="M31" s="137">
        <f t="shared" si="3"/>
        <v>8508026.6099999994</v>
      </c>
    </row>
    <row r="32" spans="1:13">
      <c r="A32" s="15" t="s">
        <v>116</v>
      </c>
      <c r="B32" s="231">
        <v>6248809.6699999999</v>
      </c>
      <c r="C32" s="231">
        <v>7749.75</v>
      </c>
      <c r="D32" s="134">
        <v>30854.35</v>
      </c>
      <c r="E32" s="134"/>
      <c r="F32" s="134"/>
      <c r="G32" s="134">
        <f t="shared" si="0"/>
        <v>-7749.75</v>
      </c>
      <c r="H32" s="134">
        <v>-557453.18986000004</v>
      </c>
      <c r="I32" s="134">
        <v>605494.43120599992</v>
      </c>
      <c r="J32" s="24">
        <f>SUM(B32:I32)</f>
        <v>6327705.2613459993</v>
      </c>
      <c r="K32" s="134">
        <v>-662086</v>
      </c>
      <c r="L32" s="134">
        <v>-81407</v>
      </c>
      <c r="M32" s="137">
        <f>B32+C32+D32+K32+L32</f>
        <v>5543920.7699999996</v>
      </c>
    </row>
    <row r="33" spans="1:13">
      <c r="A33" s="15" t="s">
        <v>117</v>
      </c>
      <c r="B33" s="231">
        <v>12889085.880000003</v>
      </c>
      <c r="C33" s="231">
        <v>726240.46999999974</v>
      </c>
      <c r="D33" s="134">
        <v>21375.96</v>
      </c>
      <c r="E33" s="134"/>
      <c r="F33" s="134"/>
      <c r="G33" s="134">
        <f t="shared" si="0"/>
        <v>-726240.46999999974</v>
      </c>
      <c r="H33" s="134">
        <v>-1080395.5453900001</v>
      </c>
      <c r="I33" s="134">
        <v>1176735.3749269999</v>
      </c>
      <c r="J33" s="24">
        <f t="shared" si="1"/>
        <v>13006801.669537002</v>
      </c>
      <c r="K33" s="134">
        <v>-2223873</v>
      </c>
      <c r="L33" s="134"/>
      <c r="M33" s="137">
        <f t="shared" si="3"/>
        <v>11412829.310000002</v>
      </c>
    </row>
    <row r="34" spans="1:13">
      <c r="A34" s="15" t="s">
        <v>118</v>
      </c>
      <c r="B34" s="231">
        <v>12549041.350000001</v>
      </c>
      <c r="C34" s="231">
        <v>795924.99</v>
      </c>
      <c r="D34" s="134">
        <v>26381.229999999996</v>
      </c>
      <c r="E34" s="134"/>
      <c r="F34" s="134"/>
      <c r="G34" s="134">
        <f t="shared" si="0"/>
        <v>-795924.99</v>
      </c>
      <c r="H34" s="134">
        <v>-1092755.0057200002</v>
      </c>
      <c r="I34" s="134">
        <v>1186120.986484</v>
      </c>
      <c r="J34" s="24">
        <f t="shared" si="1"/>
        <v>12668788.560764002</v>
      </c>
      <c r="K34" s="134">
        <v>-1918828</v>
      </c>
      <c r="L34" s="134">
        <v>-343159</v>
      </c>
      <c r="M34" s="137">
        <f t="shared" si="3"/>
        <v>11109360.570000002</v>
      </c>
    </row>
    <row r="35" spans="1:13">
      <c r="A35" s="15" t="s">
        <v>119</v>
      </c>
      <c r="B35" s="231">
        <v>8985699.110000005</v>
      </c>
      <c r="C35" s="231">
        <v>807593.94</v>
      </c>
      <c r="D35" s="134">
        <v>37893.079999999994</v>
      </c>
      <c r="E35" s="134"/>
      <c r="F35" s="134"/>
      <c r="G35" s="134">
        <f t="shared" si="0"/>
        <v>-807593.94</v>
      </c>
      <c r="H35" s="134">
        <v>-804380.50273000007</v>
      </c>
      <c r="I35" s="134">
        <v>874639.23332100001</v>
      </c>
      <c r="J35" s="24">
        <f t="shared" si="1"/>
        <v>9093850.9205910061</v>
      </c>
      <c r="K35" s="134">
        <v>-1221960</v>
      </c>
      <c r="L35" s="134">
        <v>-195368.75</v>
      </c>
      <c r="M35" s="137">
        <f t="shared" si="3"/>
        <v>8413857.3800000045</v>
      </c>
    </row>
    <row r="36" spans="1:13">
      <c r="A36" s="15" t="s">
        <v>120</v>
      </c>
      <c r="B36" s="231">
        <v>-666.34</v>
      </c>
      <c r="C36" s="231">
        <v>-600.22999999999956</v>
      </c>
      <c r="D36" s="134">
        <v>1473.6</v>
      </c>
      <c r="E36" s="134"/>
      <c r="F36" s="134"/>
      <c r="G36" s="134">
        <f t="shared" si="0"/>
        <v>600.22999999999956</v>
      </c>
      <c r="H36" s="134">
        <v>0</v>
      </c>
      <c r="I36" s="134">
        <v>0</v>
      </c>
      <c r="J36" s="24">
        <f t="shared" si="1"/>
        <v>807.25999999999976</v>
      </c>
      <c r="K36" s="134"/>
      <c r="L36" s="134"/>
      <c r="M36" s="137">
        <f t="shared" si="3"/>
        <v>207.0300000000002</v>
      </c>
    </row>
    <row r="37" spans="1:13">
      <c r="A37" s="15" t="s">
        <v>121</v>
      </c>
      <c r="B37" s="231">
        <v>6970689.3399999971</v>
      </c>
      <c r="C37" s="231">
        <v>83198.45000000007</v>
      </c>
      <c r="D37" s="134">
        <v>28830.050000000003</v>
      </c>
      <c r="E37" s="134"/>
      <c r="F37" s="134"/>
      <c r="G37" s="134">
        <f t="shared" si="0"/>
        <v>-83198.45000000007</v>
      </c>
      <c r="H37" s="134">
        <v>-581174.76242000004</v>
      </c>
      <c r="I37" s="134">
        <v>634350.019982</v>
      </c>
      <c r="J37" s="24">
        <f t="shared" si="1"/>
        <v>7052694.6475619962</v>
      </c>
      <c r="K37" s="134">
        <v>-1139910</v>
      </c>
      <c r="L37" s="134">
        <v>-140000</v>
      </c>
      <c r="M37" s="137">
        <f t="shared" si="3"/>
        <v>5802807.8399999971</v>
      </c>
    </row>
    <row r="38" spans="1:13">
      <c r="A38" s="15" t="s">
        <v>122</v>
      </c>
      <c r="B38" s="231">
        <v>1801426.44</v>
      </c>
      <c r="C38" s="231">
        <v>269452.07000000007</v>
      </c>
      <c r="D38" s="134">
        <v>7769.67</v>
      </c>
      <c r="E38" s="134">
        <f>(B38+D38)*-1</f>
        <v>-1809196.1099999999</v>
      </c>
      <c r="F38" s="134"/>
      <c r="G38" s="134">
        <f t="shared" si="0"/>
        <v>-269452.07000000007</v>
      </c>
      <c r="H38" s="134"/>
      <c r="I38" s="134"/>
      <c r="J38" s="24">
        <f>SUM(B38:I38)</f>
        <v>0</v>
      </c>
      <c r="K38" s="134"/>
      <c r="L38" s="134">
        <f>-160000*0</f>
        <v>0</v>
      </c>
      <c r="M38" s="137">
        <f t="shared" si="3"/>
        <v>2078648.18</v>
      </c>
    </row>
    <row r="39" spans="1:13">
      <c r="A39" s="15" t="s">
        <v>123</v>
      </c>
      <c r="B39" s="231">
        <v>4262633.9400000013</v>
      </c>
      <c r="C39" s="231">
        <v>1022240.1799999997</v>
      </c>
      <c r="D39" s="134">
        <v>3970.09</v>
      </c>
      <c r="E39" s="134"/>
      <c r="F39" s="134"/>
      <c r="G39" s="134">
        <f t="shared" si="0"/>
        <v>-1022240.1799999997</v>
      </c>
      <c r="H39" s="134">
        <v>-377334.48486999999</v>
      </c>
      <c r="I39" s="134">
        <v>428324.40795200004</v>
      </c>
      <c r="J39" s="24">
        <f>SUM(B39:I39)</f>
        <v>4317593.9530820018</v>
      </c>
      <c r="K39" s="134">
        <v>-1012383</v>
      </c>
      <c r="L39" s="134">
        <v>-93.19</v>
      </c>
      <c r="M39" s="137">
        <f t="shared" si="3"/>
        <v>4276368.0200000005</v>
      </c>
    </row>
    <row r="40" spans="1:13">
      <c r="A40" s="15" t="s">
        <v>124</v>
      </c>
      <c r="B40" s="231">
        <v>1830720.8900000001</v>
      </c>
      <c r="C40" s="231"/>
      <c r="D40" s="134"/>
      <c r="E40" s="134"/>
      <c r="F40" s="134"/>
      <c r="G40" s="134">
        <f t="shared" si="0"/>
        <v>0</v>
      </c>
      <c r="H40" s="134"/>
      <c r="I40" s="134"/>
      <c r="J40" s="24">
        <f t="shared" si="1"/>
        <v>1830720.8900000001</v>
      </c>
      <c r="K40" s="134"/>
      <c r="L40" s="134"/>
      <c r="M40" s="137">
        <f t="shared" si="3"/>
        <v>1830720.8900000001</v>
      </c>
    </row>
    <row r="41" spans="1:13">
      <c r="A41" s="15" t="s">
        <v>125</v>
      </c>
      <c r="B41" s="231"/>
      <c r="C41" s="231">
        <v>19684728.120000001</v>
      </c>
      <c r="D41" s="134">
        <v>1250</v>
      </c>
      <c r="E41" s="134"/>
      <c r="F41" s="134"/>
      <c r="G41" s="134">
        <f t="shared" si="0"/>
        <v>-19684728.120000001</v>
      </c>
      <c r="H41" s="134"/>
      <c r="I41" s="134"/>
      <c r="J41" s="24">
        <f t="shared" si="1"/>
        <v>1250</v>
      </c>
      <c r="K41" s="134"/>
      <c r="L41" s="134"/>
      <c r="M41" s="137">
        <f t="shared" si="3"/>
        <v>19685978.120000001</v>
      </c>
    </row>
    <row r="42" spans="1:13">
      <c r="A42" s="15" t="s">
        <v>126</v>
      </c>
      <c r="B42" s="231"/>
      <c r="C42" s="231">
        <v>166815</v>
      </c>
      <c r="D42" s="134"/>
      <c r="E42" s="134"/>
      <c r="F42" s="134"/>
      <c r="G42" s="134">
        <f t="shared" si="0"/>
        <v>-166815</v>
      </c>
      <c r="H42" s="134"/>
      <c r="I42" s="134"/>
      <c r="J42" s="24">
        <f t="shared" si="1"/>
        <v>0</v>
      </c>
      <c r="K42" s="134"/>
      <c r="L42" s="134"/>
      <c r="M42" s="137">
        <f t="shared" si="3"/>
        <v>166815</v>
      </c>
    </row>
    <row r="43" spans="1:13">
      <c r="A43" s="15" t="s">
        <v>127</v>
      </c>
      <c r="B43" s="231">
        <v>6104592.5</v>
      </c>
      <c r="C43" s="231">
        <v>-22000</v>
      </c>
      <c r="D43" s="134"/>
      <c r="E43" s="134">
        <v>-6104592.5</v>
      </c>
      <c r="F43" s="134"/>
      <c r="G43" s="134">
        <f t="shared" si="0"/>
        <v>22000</v>
      </c>
      <c r="H43" s="134"/>
      <c r="I43" s="134"/>
      <c r="J43" s="24">
        <f>SUM(B43:I43)</f>
        <v>0</v>
      </c>
      <c r="K43" s="134"/>
      <c r="L43" s="134"/>
      <c r="M43" s="137">
        <f t="shared" si="3"/>
        <v>6082592.5</v>
      </c>
    </row>
    <row r="44" spans="1:13">
      <c r="A44" s="15" t="s">
        <v>128</v>
      </c>
      <c r="B44" s="231">
        <v>397126232.39999998</v>
      </c>
      <c r="C44" s="231"/>
      <c r="D44" s="134"/>
      <c r="E44" s="134">
        <v>-397126232.39999998</v>
      </c>
      <c r="F44" s="134"/>
      <c r="G44" s="134">
        <f t="shared" si="0"/>
        <v>0</v>
      </c>
      <c r="H44" s="134"/>
      <c r="I44" s="134"/>
      <c r="J44" s="24">
        <f>SUM(B44:I44)</f>
        <v>0</v>
      </c>
      <c r="K44" s="134"/>
      <c r="L44" s="134"/>
      <c r="M44" s="137">
        <f t="shared" si="3"/>
        <v>397126232.39999998</v>
      </c>
    </row>
    <row r="45" spans="1:13">
      <c r="A45" s="15"/>
      <c r="B45" s="231"/>
      <c r="C45" s="231"/>
      <c r="D45" s="134"/>
      <c r="E45" s="134"/>
      <c r="F45" s="134"/>
      <c r="G45" s="134">
        <f t="shared" si="0"/>
        <v>0</v>
      </c>
      <c r="H45" s="207"/>
      <c r="I45" s="207"/>
      <c r="J45" s="24">
        <f t="shared" si="1"/>
        <v>0</v>
      </c>
      <c r="K45" s="134"/>
      <c r="L45" s="134"/>
      <c r="M45" s="137">
        <f t="shared" si="3"/>
        <v>0</v>
      </c>
    </row>
    <row r="46" spans="1:13">
      <c r="A46" s="15" t="s">
        <v>129</v>
      </c>
      <c r="B46" s="231">
        <v>25852555.440000001</v>
      </c>
      <c r="C46" s="231">
        <v>3341185.96</v>
      </c>
      <c r="D46" s="134">
        <v>870061.42</v>
      </c>
      <c r="E46" s="134">
        <v>-3251535.08</v>
      </c>
      <c r="F46" s="134"/>
      <c r="G46" s="134">
        <f t="shared" si="0"/>
        <v>-3341185.96</v>
      </c>
      <c r="H46" s="134">
        <v>-21970021.908240002</v>
      </c>
      <c r="I46" s="134">
        <v>0</v>
      </c>
      <c r="J46" s="24">
        <f>SUM(B46:I46)</f>
        <v>1501059.8717599995</v>
      </c>
      <c r="K46" s="134"/>
      <c r="L46" s="134">
        <f>-1045170.97*0</f>
        <v>0</v>
      </c>
      <c r="M46" s="137">
        <f t="shared" si="3"/>
        <v>30063802.820000004</v>
      </c>
    </row>
    <row r="47" spans="1:13">
      <c r="A47" s="15" t="s">
        <v>130</v>
      </c>
      <c r="B47" s="231">
        <v>6710.27</v>
      </c>
      <c r="C47" s="231"/>
      <c r="D47" s="134"/>
      <c r="E47" s="134">
        <v>-6710.27</v>
      </c>
      <c r="F47" s="233"/>
      <c r="G47" s="134">
        <f t="shared" si="0"/>
        <v>0</v>
      </c>
      <c r="H47" s="134">
        <v>0</v>
      </c>
      <c r="I47" s="134">
        <v>0</v>
      </c>
      <c r="J47" s="24">
        <f>SUM(B47:I47)</f>
        <v>0</v>
      </c>
      <c r="K47" s="134"/>
      <c r="L47" s="134"/>
      <c r="M47" s="137">
        <f t="shared" si="3"/>
        <v>6710.27</v>
      </c>
    </row>
    <row r="48" spans="1:13">
      <c r="A48" s="15" t="s">
        <v>131</v>
      </c>
      <c r="B48" s="231"/>
      <c r="C48" s="231"/>
      <c r="D48" s="134"/>
      <c r="E48" s="134"/>
      <c r="F48" s="233"/>
      <c r="G48" s="134">
        <f t="shared" si="0"/>
        <v>0</v>
      </c>
      <c r="H48" s="134"/>
      <c r="I48" s="134"/>
      <c r="J48" s="24">
        <f t="shared" si="1"/>
        <v>0</v>
      </c>
      <c r="K48" s="134"/>
      <c r="L48" s="134"/>
      <c r="M48" s="137">
        <f t="shared" si="3"/>
        <v>0</v>
      </c>
    </row>
    <row r="49" spans="1:31">
      <c r="A49" s="15" t="s">
        <v>132</v>
      </c>
      <c r="B49" s="231">
        <v>2248.12</v>
      </c>
      <c r="C49" s="231"/>
      <c r="D49" s="134">
        <v>12004934.820000008</v>
      </c>
      <c r="E49" s="134">
        <v>-382151.25</v>
      </c>
      <c r="F49" s="233">
        <f>161302.47-34353.13</f>
        <v>126949.34</v>
      </c>
      <c r="G49" s="134">
        <f t="shared" si="0"/>
        <v>0</v>
      </c>
      <c r="H49" s="134">
        <v>-77781.604879999999</v>
      </c>
      <c r="I49" s="134">
        <v>92435.478149000017</v>
      </c>
      <c r="J49" s="24">
        <f>SUM(B49:I49)</f>
        <v>11766634.903269008</v>
      </c>
      <c r="K49" s="134"/>
      <c r="L49" s="134"/>
      <c r="M49" s="137">
        <f t="shared" si="3"/>
        <v>12007182.940000007</v>
      </c>
    </row>
    <row r="50" spans="1:31">
      <c r="A50" s="15" t="s">
        <v>133</v>
      </c>
      <c r="B50" s="231"/>
      <c r="C50" s="231"/>
      <c r="D50" s="134"/>
      <c r="E50" s="134"/>
      <c r="F50" s="134"/>
      <c r="G50" s="134">
        <f t="shared" si="0"/>
        <v>0</v>
      </c>
      <c r="H50" s="134"/>
      <c r="I50" s="134"/>
      <c r="J50" s="24">
        <f>SUM(B50:I50)</f>
        <v>0</v>
      </c>
      <c r="K50" s="134"/>
      <c r="L50" s="134"/>
      <c r="M50" s="137">
        <f t="shared" si="3"/>
        <v>0</v>
      </c>
    </row>
    <row r="51" spans="1:31">
      <c r="A51" s="15" t="s">
        <v>134</v>
      </c>
      <c r="B51" s="231">
        <v>79417.709999999992</v>
      </c>
      <c r="C51" s="231"/>
      <c r="D51" s="169">
        <f>8734386.91*0</f>
        <v>0</v>
      </c>
      <c r="E51" s="134"/>
      <c r="F51" s="134"/>
      <c r="G51" s="134">
        <f t="shared" ref="G51:G52" si="4">C51*-1</f>
        <v>0</v>
      </c>
      <c r="H51" s="134"/>
      <c r="I51" s="134"/>
      <c r="J51" s="24">
        <f>SUM(B51:I51)</f>
        <v>79417.709999999992</v>
      </c>
      <c r="K51" s="134"/>
      <c r="L51" s="134"/>
      <c r="M51" s="137">
        <f t="shared" si="3"/>
        <v>79417.709999999992</v>
      </c>
    </row>
    <row r="52" spans="1:31">
      <c r="A52" s="15" t="s">
        <v>135</v>
      </c>
      <c r="B52" s="231">
        <v>31343.73</v>
      </c>
      <c r="C52" s="231"/>
      <c r="D52" s="134">
        <v>8693647.1599999964</v>
      </c>
      <c r="E52" s="134">
        <v>-1054833.08</v>
      </c>
      <c r="F52" s="134"/>
      <c r="G52" s="134">
        <f t="shared" si="4"/>
        <v>0</v>
      </c>
      <c r="H52" s="134">
        <v>-667746.4373300001</v>
      </c>
      <c r="I52" s="134">
        <v>738434.55816899973</v>
      </c>
      <c r="J52" s="24">
        <f>SUM(B52:I52)</f>
        <v>7740845.9308389965</v>
      </c>
      <c r="K52" s="134"/>
      <c r="L52" s="134">
        <f>-6229.02*0</f>
        <v>0</v>
      </c>
      <c r="M52" s="137">
        <f t="shared" si="3"/>
        <v>8724990.8899999969</v>
      </c>
    </row>
    <row r="53" spans="1:31" ht="13.5" thickBot="1">
      <c r="A53" s="25" t="s">
        <v>136</v>
      </c>
      <c r="B53" s="26">
        <f t="shared" ref="B53:L53" si="5">SUM(B7:B52)</f>
        <v>641642602.18000007</v>
      </c>
      <c r="C53" s="26">
        <f t="shared" si="5"/>
        <v>51455863.760000005</v>
      </c>
      <c r="D53" s="26">
        <f t="shared" si="5"/>
        <v>22659241.910000004</v>
      </c>
      <c r="E53" s="26">
        <f t="shared" si="5"/>
        <v>-409815322.98999995</v>
      </c>
      <c r="F53" s="26">
        <f t="shared" si="5"/>
        <v>60039.701303964801</v>
      </c>
      <c r="G53" s="26">
        <f t="shared" si="5"/>
        <v>-51455863.760000005</v>
      </c>
      <c r="H53" s="26">
        <f t="shared" si="5"/>
        <v>-40688998.928900003</v>
      </c>
      <c r="I53" s="26">
        <f t="shared" si="5"/>
        <v>20476194.874512997</v>
      </c>
      <c r="J53" s="26">
        <f t="shared" si="5"/>
        <v>234333756.74691698</v>
      </c>
      <c r="K53" s="26">
        <f t="shared" si="5"/>
        <v>-28748950</v>
      </c>
      <c r="L53" s="26">
        <f t="shared" si="5"/>
        <v>-5167878.99</v>
      </c>
    </row>
    <row r="54" spans="1:31" s="74" customFormat="1">
      <c r="A54" s="79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40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</row>
    <row r="55" spans="1:31">
      <c r="A55" s="170" t="s">
        <v>90</v>
      </c>
      <c r="B55" s="171">
        <v>641642602.17999995</v>
      </c>
      <c r="C55" s="171">
        <v>51455863.759999953</v>
      </c>
      <c r="D55" s="172">
        <v>22659241.909999967</v>
      </c>
      <c r="E55" s="172">
        <f>410860493.96*-1</f>
        <v>-410860493.95999998</v>
      </c>
      <c r="F55" s="172"/>
      <c r="G55" s="172"/>
      <c r="H55" s="172">
        <v>-40688998.928900011</v>
      </c>
      <c r="I55" s="172">
        <v>20476194.87451297</v>
      </c>
      <c r="J55" s="19">
        <f>J53+L53</f>
        <v>229165877.75691697</v>
      </c>
      <c r="K55" s="19"/>
      <c r="L55" s="19"/>
    </row>
    <row r="56" spans="1:31">
      <c r="B56" s="18"/>
      <c r="C56" s="18"/>
      <c r="D56" s="19"/>
      <c r="E56" s="19"/>
      <c r="F56" s="19"/>
      <c r="G56" s="19"/>
      <c r="H56" s="19"/>
      <c r="I56" s="19"/>
      <c r="J56" s="19"/>
      <c r="K56" s="19"/>
      <c r="L56" s="19"/>
    </row>
    <row r="57" spans="1:31">
      <c r="B57" s="18"/>
      <c r="C57" s="18"/>
      <c r="D57" s="19"/>
      <c r="E57" s="19"/>
      <c r="F57" s="19"/>
      <c r="G57" s="19"/>
      <c r="H57" s="19"/>
      <c r="I57" s="19"/>
      <c r="J57" s="19"/>
      <c r="K57" s="19"/>
      <c r="L57" s="19"/>
    </row>
    <row r="58" spans="1:31">
      <c r="B58" s="18"/>
      <c r="C58" s="18"/>
      <c r="D58" s="19"/>
      <c r="E58" s="19"/>
      <c r="F58" s="19"/>
      <c r="G58" s="19"/>
      <c r="H58" s="19"/>
      <c r="I58" s="19"/>
      <c r="J58" s="19"/>
      <c r="K58" s="19"/>
      <c r="L58" s="19"/>
    </row>
    <row r="59" spans="1:31">
      <c r="B59" s="18"/>
      <c r="C59" s="18"/>
      <c r="D59" s="19"/>
      <c r="E59" s="19"/>
      <c r="F59" s="19"/>
      <c r="G59" s="19"/>
      <c r="H59" s="19"/>
      <c r="I59" s="19"/>
      <c r="J59" s="19"/>
      <c r="K59" s="19"/>
      <c r="L59" s="19"/>
    </row>
    <row r="60" spans="1:31">
      <c r="B60" s="18"/>
      <c r="C60" s="18"/>
      <c r="D60" s="19"/>
      <c r="E60" s="19"/>
      <c r="F60" s="19"/>
      <c r="G60" s="19"/>
      <c r="H60" s="19"/>
      <c r="I60" s="19"/>
      <c r="J60" s="19"/>
      <c r="K60" s="19"/>
      <c r="L60" s="19"/>
    </row>
    <row r="61" spans="1:31">
      <c r="B61" s="18"/>
      <c r="C61" s="18"/>
      <c r="D61" s="19"/>
      <c r="E61" s="19"/>
      <c r="F61" s="19"/>
      <c r="G61" s="19"/>
      <c r="H61" s="19"/>
      <c r="I61" s="19"/>
      <c r="J61" s="19"/>
      <c r="K61" s="19"/>
      <c r="L61" s="19"/>
    </row>
    <row r="62" spans="1:31">
      <c r="B62" s="18"/>
      <c r="C62" s="18"/>
      <c r="D62" s="19"/>
      <c r="E62" s="19"/>
      <c r="F62" s="19"/>
      <c r="G62" s="19"/>
      <c r="H62" s="19"/>
      <c r="I62" s="19"/>
      <c r="J62" s="19"/>
      <c r="K62" s="19"/>
      <c r="L62" s="19"/>
    </row>
    <row r="63" spans="1:31">
      <c r="B63" s="18"/>
      <c r="C63" s="18"/>
      <c r="D63" s="19"/>
      <c r="E63" s="19"/>
      <c r="F63" s="19"/>
      <c r="G63" s="19"/>
      <c r="H63" s="19"/>
      <c r="I63" s="19"/>
      <c r="J63" s="19"/>
      <c r="K63" s="19"/>
      <c r="L63" s="19"/>
    </row>
    <row r="64" spans="1:31">
      <c r="B64" s="18"/>
      <c r="C64" s="18"/>
      <c r="D64" s="19"/>
      <c r="E64" s="19"/>
      <c r="F64" s="19"/>
      <c r="G64" s="19"/>
      <c r="H64" s="19"/>
      <c r="I64" s="19"/>
      <c r="J64" s="19"/>
      <c r="K64" s="19"/>
      <c r="L64" s="19"/>
    </row>
    <row r="65" spans="2:12">
      <c r="B65" s="18"/>
      <c r="C65" s="18"/>
      <c r="D65" s="19"/>
      <c r="E65" s="19"/>
      <c r="F65" s="19"/>
      <c r="G65" s="19"/>
      <c r="H65" s="19"/>
      <c r="I65" s="19"/>
      <c r="J65" s="19"/>
      <c r="K65" s="19"/>
      <c r="L65" s="19"/>
    </row>
    <row r="66" spans="2:12">
      <c r="B66" s="18"/>
      <c r="C66" s="18"/>
      <c r="D66" s="19"/>
      <c r="E66" s="19"/>
      <c r="F66" s="19"/>
      <c r="G66" s="19"/>
      <c r="H66" s="19"/>
      <c r="I66" s="19"/>
      <c r="J66" s="19"/>
      <c r="K66" s="19"/>
      <c r="L66" s="19"/>
    </row>
    <row r="67" spans="2:12">
      <c r="B67" s="18"/>
      <c r="C67" s="18"/>
      <c r="D67" s="19"/>
      <c r="E67" s="19"/>
      <c r="F67" s="19"/>
      <c r="G67" s="19"/>
      <c r="H67" s="19"/>
      <c r="I67" s="19"/>
      <c r="J67" s="19"/>
      <c r="K67" s="19"/>
      <c r="L67" s="19"/>
    </row>
    <row r="68" spans="2:12">
      <c r="B68" s="18"/>
      <c r="C68" s="18"/>
      <c r="D68" s="19"/>
      <c r="E68" s="19"/>
      <c r="F68" s="19"/>
      <c r="G68" s="19"/>
      <c r="H68" s="19"/>
      <c r="I68" s="19"/>
      <c r="J68" s="19"/>
      <c r="K68" s="19"/>
      <c r="L68" s="19"/>
    </row>
    <row r="69" spans="2:12">
      <c r="B69" s="18"/>
      <c r="C69" s="18"/>
      <c r="D69" s="19"/>
      <c r="E69" s="19"/>
      <c r="F69" s="19"/>
      <c r="G69" s="19"/>
      <c r="H69" s="19"/>
      <c r="I69" s="19"/>
      <c r="J69" s="19"/>
      <c r="K69" s="19"/>
      <c r="L69" s="19"/>
    </row>
    <row r="70" spans="2:12">
      <c r="B70" s="18"/>
      <c r="C70" s="18"/>
      <c r="D70" s="19"/>
      <c r="E70" s="19"/>
      <c r="F70" s="19"/>
      <c r="G70" s="19"/>
      <c r="H70" s="19"/>
      <c r="I70" s="19"/>
      <c r="J70" s="19"/>
      <c r="K70" s="19"/>
      <c r="L70" s="19"/>
    </row>
    <row r="71" spans="2:12">
      <c r="B71" s="18"/>
      <c r="C71" s="18"/>
      <c r="D71" s="19"/>
      <c r="E71" s="19"/>
      <c r="F71" s="19"/>
      <c r="G71" s="19"/>
      <c r="H71" s="19"/>
      <c r="I71" s="19"/>
      <c r="J71" s="19"/>
      <c r="K71" s="19"/>
      <c r="L71" s="19"/>
    </row>
    <row r="72" spans="2:12">
      <c r="B72" s="18"/>
      <c r="C72" s="18"/>
      <c r="D72" s="19"/>
      <c r="E72" s="19"/>
      <c r="F72" s="19"/>
      <c r="G72" s="19"/>
      <c r="H72" s="19"/>
      <c r="I72" s="19"/>
      <c r="J72" s="19"/>
      <c r="K72" s="19"/>
      <c r="L72" s="19"/>
    </row>
    <row r="73" spans="2:12">
      <c r="B73" s="18"/>
      <c r="C73" s="18"/>
      <c r="D73" s="19"/>
      <c r="E73" s="19"/>
      <c r="F73" s="19"/>
      <c r="G73" s="19"/>
      <c r="H73" s="19"/>
      <c r="I73" s="19"/>
      <c r="J73" s="19"/>
      <c r="K73" s="19"/>
      <c r="L73" s="19"/>
    </row>
    <row r="74" spans="2:12">
      <c r="B74" s="18"/>
      <c r="C74" s="18"/>
      <c r="D74" s="19"/>
      <c r="E74" s="19"/>
      <c r="F74" s="19"/>
      <c r="G74" s="19"/>
      <c r="H74" s="19"/>
      <c r="I74" s="19"/>
      <c r="J74" s="19"/>
      <c r="K74" s="19"/>
      <c r="L74" s="19"/>
    </row>
    <row r="75" spans="2:12">
      <c r="B75" s="18"/>
      <c r="C75" s="18"/>
      <c r="D75" s="19"/>
      <c r="E75" s="19"/>
      <c r="F75" s="19"/>
      <c r="G75" s="19"/>
      <c r="H75" s="19"/>
      <c r="I75" s="19"/>
      <c r="J75" s="19"/>
      <c r="K75" s="19"/>
      <c r="L75" s="19"/>
    </row>
    <row r="76" spans="2:12">
      <c r="B76" s="18"/>
      <c r="C76" s="18"/>
      <c r="D76" s="19"/>
      <c r="E76" s="19"/>
      <c r="F76" s="19"/>
      <c r="G76" s="19"/>
      <c r="H76" s="19"/>
      <c r="I76" s="19"/>
      <c r="J76" s="19"/>
      <c r="K76" s="19"/>
      <c r="L76" s="19"/>
    </row>
    <row r="77" spans="2:12">
      <c r="B77" s="18"/>
      <c r="C77" s="18"/>
      <c r="D77" s="19"/>
      <c r="E77" s="19"/>
      <c r="F77" s="19"/>
      <c r="G77" s="19"/>
      <c r="H77" s="19"/>
      <c r="I77" s="19"/>
      <c r="J77" s="19"/>
      <c r="K77" s="19"/>
      <c r="L77" s="19"/>
    </row>
    <row r="78" spans="2:12">
      <c r="B78" s="18"/>
      <c r="C78" s="18"/>
      <c r="D78" s="19"/>
      <c r="E78" s="19"/>
      <c r="F78" s="19"/>
      <c r="G78" s="19"/>
      <c r="H78" s="19"/>
      <c r="I78" s="19"/>
      <c r="J78" s="19"/>
      <c r="K78" s="19"/>
      <c r="L78" s="19"/>
    </row>
    <row r="79" spans="2:12">
      <c r="B79" s="18"/>
      <c r="C79" s="18"/>
      <c r="D79" s="19"/>
      <c r="E79" s="19"/>
      <c r="F79" s="19"/>
      <c r="G79" s="19"/>
      <c r="H79" s="19"/>
      <c r="I79" s="19"/>
      <c r="J79" s="19"/>
      <c r="K79" s="19"/>
      <c r="L79" s="19"/>
    </row>
    <row r="80" spans="2:12">
      <c r="B80" s="18"/>
      <c r="C80" s="18"/>
      <c r="D80" s="19"/>
      <c r="E80" s="19"/>
      <c r="F80" s="19"/>
      <c r="G80" s="19"/>
      <c r="H80" s="19"/>
      <c r="I80" s="19"/>
      <c r="J80" s="19"/>
      <c r="K80" s="19"/>
      <c r="L80" s="19"/>
    </row>
    <row r="81" spans="2:12">
      <c r="B81" s="18"/>
      <c r="C81" s="18"/>
      <c r="D81" s="19"/>
      <c r="E81" s="19"/>
      <c r="F81" s="19"/>
      <c r="G81" s="19"/>
      <c r="H81" s="19"/>
      <c r="I81" s="19"/>
      <c r="J81" s="19"/>
      <c r="K81" s="19"/>
      <c r="L81" s="19"/>
    </row>
    <row r="82" spans="2:12">
      <c r="B82" s="18"/>
      <c r="C82" s="18"/>
      <c r="D82" s="19"/>
      <c r="E82" s="19"/>
      <c r="F82" s="19"/>
      <c r="G82" s="19"/>
      <c r="H82" s="19"/>
      <c r="I82" s="19"/>
      <c r="J82" s="19"/>
      <c r="K82" s="19"/>
      <c r="L82" s="19"/>
    </row>
    <row r="83" spans="2:12">
      <c r="B83" s="18"/>
      <c r="C83" s="18"/>
      <c r="D83" s="19"/>
      <c r="E83" s="19"/>
      <c r="F83" s="19"/>
      <c r="G83" s="19"/>
      <c r="H83" s="19"/>
      <c r="I83" s="19"/>
      <c r="J83" s="19"/>
      <c r="K83" s="19"/>
      <c r="L83" s="19"/>
    </row>
    <row r="84" spans="2:12">
      <c r="B84" s="18"/>
      <c r="C84" s="18"/>
      <c r="D84" s="19"/>
      <c r="E84" s="19"/>
      <c r="F84" s="19"/>
      <c r="G84" s="19"/>
      <c r="H84" s="19"/>
      <c r="I84" s="19"/>
      <c r="J84" s="19"/>
      <c r="K84" s="19"/>
      <c r="L84" s="19"/>
    </row>
    <row r="85" spans="2:12">
      <c r="B85" s="18"/>
      <c r="C85" s="18"/>
      <c r="D85" s="19"/>
      <c r="E85" s="19"/>
      <c r="F85" s="19"/>
      <c r="G85" s="19"/>
      <c r="H85" s="19"/>
      <c r="I85" s="19"/>
      <c r="J85" s="19"/>
      <c r="K85" s="19"/>
      <c r="L85" s="19"/>
    </row>
    <row r="86" spans="2:12">
      <c r="B86" s="18"/>
      <c r="C86" s="18"/>
      <c r="D86" s="19"/>
      <c r="E86" s="19"/>
      <c r="F86" s="19"/>
      <c r="G86" s="19"/>
      <c r="H86" s="19"/>
      <c r="I86" s="19"/>
      <c r="J86" s="19"/>
      <c r="K86" s="19"/>
      <c r="L86" s="19"/>
    </row>
    <row r="87" spans="2:12">
      <c r="B87" s="18"/>
      <c r="C87" s="18"/>
      <c r="D87" s="19"/>
      <c r="E87" s="19"/>
      <c r="F87" s="19"/>
      <c r="G87" s="19"/>
      <c r="H87" s="19"/>
      <c r="I87" s="19"/>
      <c r="J87" s="19"/>
      <c r="K87" s="19"/>
      <c r="L87" s="19"/>
    </row>
    <row r="88" spans="2:12">
      <c r="B88" s="18"/>
      <c r="C88" s="18"/>
      <c r="D88" s="19"/>
      <c r="E88" s="19"/>
      <c r="F88" s="19"/>
      <c r="G88" s="19"/>
      <c r="H88" s="19"/>
      <c r="I88" s="19"/>
      <c r="J88" s="19"/>
      <c r="K88" s="19"/>
      <c r="L88" s="19"/>
    </row>
    <row r="89" spans="2:12"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</row>
    <row r="90" spans="2:12">
      <c r="B90" s="18"/>
      <c r="C90" s="18"/>
      <c r="D90" s="19"/>
      <c r="E90" s="19"/>
      <c r="F90" s="19"/>
      <c r="G90" s="19"/>
      <c r="H90" s="19"/>
      <c r="I90" s="19"/>
      <c r="J90" s="19"/>
      <c r="K90" s="19"/>
      <c r="L90" s="19"/>
    </row>
    <row r="91" spans="2:12">
      <c r="B91" s="18"/>
      <c r="C91" s="18"/>
      <c r="D91" s="19"/>
      <c r="E91" s="19"/>
      <c r="F91" s="19"/>
      <c r="G91" s="19"/>
      <c r="H91" s="19"/>
      <c r="I91" s="19"/>
      <c r="J91" s="19"/>
      <c r="K91" s="19"/>
      <c r="L91" s="19"/>
    </row>
    <row r="92" spans="2:12">
      <c r="B92" s="18"/>
      <c r="C92" s="18"/>
      <c r="D92" s="19"/>
      <c r="E92" s="19"/>
      <c r="F92" s="19"/>
      <c r="G92" s="19"/>
      <c r="H92" s="19"/>
      <c r="I92" s="19"/>
      <c r="J92" s="19"/>
      <c r="K92" s="19"/>
      <c r="L92" s="19"/>
    </row>
    <row r="93" spans="2:12">
      <c r="B93" s="18"/>
      <c r="C93" s="18"/>
      <c r="D93" s="19"/>
      <c r="E93" s="19"/>
      <c r="F93" s="19"/>
      <c r="G93" s="19"/>
      <c r="H93" s="19"/>
      <c r="I93" s="19"/>
      <c r="J93" s="19"/>
      <c r="K93" s="19"/>
      <c r="L93" s="19"/>
    </row>
    <row r="94" spans="2:12">
      <c r="B94" s="18"/>
      <c r="C94" s="18"/>
      <c r="D94" s="19"/>
      <c r="E94" s="19"/>
      <c r="F94" s="19"/>
      <c r="G94" s="19"/>
      <c r="H94" s="19"/>
      <c r="I94" s="19"/>
      <c r="J94" s="19"/>
      <c r="K94" s="19"/>
      <c r="L94" s="19"/>
    </row>
    <row r="95" spans="2:12">
      <c r="B95" s="18"/>
      <c r="C95" s="18"/>
      <c r="D95" s="19"/>
      <c r="E95" s="19"/>
      <c r="F95" s="19"/>
      <c r="G95" s="19"/>
      <c r="H95" s="19"/>
      <c r="I95" s="19"/>
      <c r="J95" s="19"/>
      <c r="K95" s="19"/>
      <c r="L95" s="19"/>
    </row>
    <row r="96" spans="2:12">
      <c r="B96" s="18"/>
      <c r="C96" s="18"/>
      <c r="D96" s="19"/>
      <c r="E96" s="19"/>
      <c r="F96" s="19"/>
      <c r="G96" s="19"/>
      <c r="H96" s="19"/>
      <c r="I96" s="19"/>
      <c r="J96" s="19"/>
      <c r="K96" s="19"/>
      <c r="L96" s="19"/>
    </row>
    <row r="97" spans="2:12">
      <c r="B97" s="18"/>
      <c r="C97" s="18"/>
      <c r="D97" s="19"/>
      <c r="E97" s="19"/>
      <c r="F97" s="19"/>
      <c r="G97" s="19"/>
      <c r="H97" s="19"/>
      <c r="I97" s="19"/>
      <c r="J97" s="19"/>
      <c r="K97" s="19"/>
      <c r="L97" s="19"/>
    </row>
    <row r="98" spans="2:12">
      <c r="B98" s="18"/>
      <c r="C98" s="18"/>
      <c r="D98" s="19"/>
      <c r="E98" s="19"/>
      <c r="F98" s="19"/>
      <c r="G98" s="19"/>
      <c r="H98" s="19"/>
      <c r="I98" s="19"/>
      <c r="J98" s="19"/>
      <c r="K98" s="19"/>
      <c r="L98" s="19"/>
    </row>
    <row r="99" spans="2:12">
      <c r="B99" s="18"/>
      <c r="C99" s="18"/>
      <c r="D99" s="19"/>
      <c r="E99" s="19"/>
      <c r="F99" s="19"/>
      <c r="G99" s="19"/>
      <c r="H99" s="19"/>
      <c r="I99" s="19"/>
      <c r="J99" s="19"/>
      <c r="K99" s="19"/>
      <c r="L99" s="19"/>
    </row>
    <row r="100" spans="2:12">
      <c r="B100" s="18"/>
      <c r="C100" s="18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2:12">
      <c r="B101" s="18"/>
      <c r="C101" s="18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2:12">
      <c r="B102" s="18"/>
      <c r="C102" s="18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2:12">
      <c r="B103" s="18"/>
      <c r="C103" s="18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2:12">
      <c r="B104" s="18"/>
      <c r="C104" s="18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2:12">
      <c r="B105" s="18"/>
      <c r="C105" s="18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2:12">
      <c r="B106" s="18"/>
      <c r="C106" s="18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2:12">
      <c r="B107" s="18"/>
      <c r="C107" s="18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2:12">
      <c r="B108" s="18"/>
      <c r="C108" s="18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2:12">
      <c r="B109" s="18"/>
      <c r="C109" s="18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2:12">
      <c r="B110" s="18"/>
      <c r="C110" s="18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2:12">
      <c r="B111" s="18"/>
      <c r="C111" s="18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2:12">
      <c r="B112" s="18"/>
      <c r="C112" s="18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2:12">
      <c r="B113" s="18"/>
      <c r="C113" s="18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2:12">
      <c r="B114" s="18"/>
      <c r="C114" s="18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2:12">
      <c r="B115" s="18"/>
      <c r="C115" s="18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2">
      <c r="B116" s="18"/>
      <c r="C116" s="18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2:12">
      <c r="B117" s="18"/>
      <c r="C117" s="18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2:12">
      <c r="B118" s="18"/>
      <c r="C118" s="18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2:12">
      <c r="B119" s="18"/>
      <c r="C119" s="18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2:12">
      <c r="B120" s="18"/>
      <c r="C120" s="18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2:12">
      <c r="B121" s="18"/>
      <c r="C121" s="18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2:12">
      <c r="B122" s="18"/>
      <c r="C122" s="18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2:12">
      <c r="B123" s="18"/>
      <c r="C123" s="18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2:12">
      <c r="B124" s="18"/>
      <c r="C124" s="18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2:12">
      <c r="B125" s="18"/>
      <c r="C125" s="18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2:12">
      <c r="B126" s="18"/>
      <c r="C126" s="18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2:12">
      <c r="B127" s="18"/>
      <c r="C127" s="18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2:12">
      <c r="B128" s="18"/>
      <c r="C128" s="18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2:12">
      <c r="B129" s="18"/>
      <c r="C129" s="18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2:12">
      <c r="B130" s="18"/>
      <c r="C130" s="18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2:12">
      <c r="B131" s="18"/>
      <c r="C131" s="18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2:12">
      <c r="B132" s="18"/>
      <c r="C132" s="18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2:12">
      <c r="B133" s="18"/>
      <c r="C133" s="18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2:12">
      <c r="B134" s="18"/>
      <c r="C134" s="18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2:12">
      <c r="B135" s="18"/>
      <c r="C135" s="18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2:12">
      <c r="B136" s="18"/>
      <c r="C136" s="18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2:12">
      <c r="B137" s="18"/>
      <c r="C137" s="18"/>
      <c r="D137" s="19"/>
      <c r="E137" s="19"/>
      <c r="F137" s="19"/>
      <c r="G137" s="19"/>
      <c r="H137" s="19"/>
      <c r="I137" s="19"/>
      <c r="J137" s="19"/>
      <c r="K137" s="19"/>
      <c r="L137" s="19"/>
    </row>
    <row r="138" spans="2:12">
      <c r="B138" s="18"/>
      <c r="C138" s="18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2:12">
      <c r="B139" s="18"/>
      <c r="C139" s="18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2:12">
      <c r="B140" s="18"/>
      <c r="C140" s="18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2:12">
      <c r="B141" s="18"/>
      <c r="C141" s="18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2:12">
      <c r="B142" s="18"/>
      <c r="C142" s="18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2:12">
      <c r="B143" s="18"/>
      <c r="C143" s="18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2:12">
      <c r="B144" s="18"/>
      <c r="C144" s="18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2:12">
      <c r="B145" s="18"/>
      <c r="C145" s="18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2:12">
      <c r="B146" s="18"/>
      <c r="C146" s="18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2:12">
      <c r="B147" s="18"/>
      <c r="C147" s="18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2:12">
      <c r="B148" s="18"/>
      <c r="C148" s="18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2:12">
      <c r="B149" s="18"/>
      <c r="C149" s="18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2:12">
      <c r="B150" s="18"/>
      <c r="C150" s="18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2:12">
      <c r="B151" s="18"/>
      <c r="C151" s="18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2:12">
      <c r="B152" s="18"/>
      <c r="C152" s="18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2:12">
      <c r="B153" s="18"/>
      <c r="C153" s="18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2:12">
      <c r="B154" s="18"/>
      <c r="C154" s="18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2:12">
      <c r="B155" s="18"/>
      <c r="C155" s="18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2:12">
      <c r="B156" s="18"/>
      <c r="C156" s="18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2:12">
      <c r="B157" s="18"/>
      <c r="C157" s="18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2:12">
      <c r="B158" s="18"/>
      <c r="C158" s="18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2:12">
      <c r="B159" s="18"/>
      <c r="C159" s="18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2:12">
      <c r="B160" s="18"/>
      <c r="C160" s="18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2:12">
      <c r="B161" s="18"/>
      <c r="C161" s="18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2:12">
      <c r="B162" s="18"/>
      <c r="C162" s="18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2:12">
      <c r="B163" s="18"/>
      <c r="C163" s="18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2:12">
      <c r="B164" s="18"/>
      <c r="C164" s="18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2:12">
      <c r="B165" s="18"/>
      <c r="C165" s="18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2:12">
      <c r="B166" s="18"/>
      <c r="C166" s="18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2:12">
      <c r="B167" s="18"/>
      <c r="C167" s="18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2:12">
      <c r="B168" s="18"/>
      <c r="C168" s="18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2:12">
      <c r="B169" s="18"/>
      <c r="C169" s="18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2:12">
      <c r="B170" s="18"/>
      <c r="C170" s="18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2:12">
      <c r="B171" s="18"/>
      <c r="C171" s="18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2:12">
      <c r="B172" s="18"/>
      <c r="C172" s="18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2:12">
      <c r="B173" s="18"/>
      <c r="C173" s="18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2:12">
      <c r="B174" s="18"/>
      <c r="C174" s="18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2:12">
      <c r="B175" s="18"/>
      <c r="C175" s="18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2:12">
      <c r="B176" s="18"/>
      <c r="C176" s="18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2:12">
      <c r="B177" s="18"/>
      <c r="C177" s="18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2:12">
      <c r="B178" s="18"/>
      <c r="C178" s="18"/>
      <c r="D178" s="19"/>
      <c r="E178" s="19"/>
      <c r="F178" s="19"/>
      <c r="G178" s="19"/>
      <c r="H178" s="19"/>
      <c r="I178" s="19"/>
      <c r="J178" s="19"/>
      <c r="K178" s="19"/>
      <c r="L178" s="19"/>
    </row>
    <row r="179" spans="2:12">
      <c r="B179" s="18"/>
      <c r="C179" s="18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2:12">
      <c r="B180" s="18"/>
      <c r="C180" s="18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2:12">
      <c r="B181" s="18"/>
      <c r="C181" s="18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2:12">
      <c r="B182" s="18"/>
      <c r="C182" s="18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2:12">
      <c r="B183" s="18"/>
      <c r="C183" s="18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2:12">
      <c r="B184" s="18"/>
      <c r="C184" s="18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2:12">
      <c r="B185" s="18"/>
      <c r="C185" s="18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2:12">
      <c r="B186" s="18"/>
      <c r="C186" s="18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2:12">
      <c r="B187" s="18"/>
      <c r="C187" s="18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2:12">
      <c r="B188" s="18"/>
      <c r="C188" s="18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2:12">
      <c r="B189" s="18"/>
      <c r="C189" s="18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2:12">
      <c r="B190" s="18"/>
      <c r="C190" s="18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2:12">
      <c r="B191" s="18"/>
      <c r="C191" s="18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2:12">
      <c r="B192" s="18"/>
      <c r="C192" s="18"/>
      <c r="D192" s="19"/>
      <c r="E192" s="19"/>
      <c r="F192" s="19"/>
      <c r="G192" s="19"/>
      <c r="H192" s="19"/>
      <c r="I192" s="19"/>
      <c r="J192" s="19"/>
      <c r="K192" s="19"/>
      <c r="L192" s="19"/>
    </row>
    <row r="193" spans="2:12">
      <c r="B193" s="18"/>
      <c r="C193" s="18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2:12">
      <c r="B194" s="18"/>
      <c r="C194" s="18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2:12">
      <c r="B195" s="18"/>
      <c r="C195" s="18"/>
      <c r="D195" s="19"/>
      <c r="E195" s="19"/>
      <c r="F195" s="19"/>
      <c r="G195" s="19"/>
      <c r="H195" s="19"/>
      <c r="I195" s="19"/>
      <c r="J195" s="19"/>
      <c r="K195" s="19"/>
      <c r="L195" s="19"/>
    </row>
    <row r="196" spans="2:12">
      <c r="B196" s="18"/>
      <c r="C196" s="18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2:12">
      <c r="B197" s="18"/>
      <c r="C197" s="18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2:12">
      <c r="B198" s="18"/>
      <c r="C198" s="18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2:12">
      <c r="B199" s="18"/>
      <c r="C199" s="18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2:12">
      <c r="B200" s="18"/>
      <c r="C200" s="18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2:12">
      <c r="B201" s="18"/>
      <c r="C201" s="18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2:12">
      <c r="B202" s="18"/>
      <c r="C202" s="18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2:12">
      <c r="B203" s="18"/>
      <c r="C203" s="18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2:12">
      <c r="B204" s="18"/>
      <c r="C204" s="18"/>
      <c r="D204" s="19"/>
      <c r="E204" s="19"/>
      <c r="F204" s="19"/>
      <c r="G204" s="19"/>
      <c r="H204" s="19"/>
      <c r="I204" s="19"/>
      <c r="J204" s="19"/>
      <c r="K204" s="19"/>
      <c r="L204" s="19"/>
    </row>
    <row r="205" spans="2:12">
      <c r="B205" s="18"/>
      <c r="C205" s="18"/>
      <c r="D205" s="19"/>
      <c r="E205" s="19"/>
      <c r="F205" s="19"/>
      <c r="G205" s="19"/>
      <c r="H205" s="19"/>
      <c r="I205" s="19"/>
      <c r="J205" s="19"/>
      <c r="K205" s="19"/>
      <c r="L205" s="19"/>
    </row>
    <row r="206" spans="2:12">
      <c r="B206" s="18"/>
      <c r="C206" s="18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2:12">
      <c r="B207" s="18"/>
      <c r="C207" s="18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2:12">
      <c r="B208" s="18"/>
      <c r="C208" s="18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2:12">
      <c r="B209" s="18"/>
      <c r="C209" s="18"/>
      <c r="D209" s="19"/>
      <c r="E209" s="19"/>
      <c r="F209" s="19"/>
      <c r="G209" s="19"/>
      <c r="H209" s="19"/>
      <c r="I209" s="19"/>
      <c r="J209" s="19"/>
      <c r="K209" s="19"/>
      <c r="L209" s="19"/>
    </row>
    <row r="210" spans="2:12">
      <c r="B210" s="18"/>
      <c r="C210" s="18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2:12">
      <c r="B211" s="18"/>
      <c r="C211" s="18"/>
      <c r="D211" s="19"/>
      <c r="E211" s="19"/>
      <c r="F211" s="19"/>
      <c r="G211" s="19"/>
      <c r="H211" s="19"/>
      <c r="I211" s="19"/>
      <c r="J211" s="19"/>
      <c r="K211" s="19"/>
      <c r="L211" s="19"/>
    </row>
    <row r="212" spans="2:12">
      <c r="B212" s="18"/>
      <c r="C212" s="18"/>
      <c r="D212" s="19"/>
      <c r="E212" s="19"/>
      <c r="F212" s="19"/>
      <c r="G212" s="19"/>
      <c r="H212" s="19"/>
      <c r="I212" s="19"/>
      <c r="J212" s="19"/>
      <c r="K212" s="19"/>
      <c r="L212" s="19"/>
    </row>
    <row r="213" spans="2:12">
      <c r="B213" s="18"/>
      <c r="C213" s="18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2:12">
      <c r="B214" s="18"/>
      <c r="C214" s="18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2:12">
      <c r="B215" s="18"/>
      <c r="C215" s="18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2:12">
      <c r="B216" s="18"/>
      <c r="C216" s="18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2:12">
      <c r="B217" s="18"/>
      <c r="C217" s="18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2:12">
      <c r="B218" s="18"/>
      <c r="C218" s="18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2:12">
      <c r="B219" s="18"/>
      <c r="C219" s="18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2:12">
      <c r="B220" s="18"/>
      <c r="C220" s="18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2:12">
      <c r="B221" s="18"/>
      <c r="C221" s="18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2:12">
      <c r="B222" s="18"/>
      <c r="C222" s="18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2:12">
      <c r="B223" s="18"/>
      <c r="C223" s="18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2:12">
      <c r="B224" s="18"/>
      <c r="C224" s="18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2:12">
      <c r="B225" s="18"/>
      <c r="C225" s="18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2:12">
      <c r="B226" s="18"/>
      <c r="C226" s="18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2:12">
      <c r="B227" s="18"/>
      <c r="C227" s="18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2:12">
      <c r="B228" s="18"/>
      <c r="C228" s="18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2:12">
      <c r="B229" s="18"/>
      <c r="C229" s="18"/>
      <c r="D229" s="19"/>
      <c r="E229" s="19"/>
      <c r="F229" s="19"/>
      <c r="G229" s="19"/>
      <c r="H229" s="19"/>
      <c r="I229" s="19"/>
      <c r="J229" s="19"/>
      <c r="K229" s="19"/>
      <c r="L229" s="19"/>
    </row>
    <row r="230" spans="2:12">
      <c r="B230" s="18"/>
      <c r="C230" s="18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2:12">
      <c r="B231" s="18"/>
      <c r="C231" s="18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2:12">
      <c r="B232" s="18"/>
      <c r="C232" s="18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2:12">
      <c r="B233" s="18"/>
      <c r="C233" s="18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2:12">
      <c r="B234" s="18"/>
      <c r="C234" s="18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2:12">
      <c r="B235" s="18"/>
      <c r="C235" s="18"/>
      <c r="D235" s="19"/>
      <c r="E235" s="19"/>
      <c r="F235" s="19"/>
      <c r="G235" s="19"/>
      <c r="H235" s="19"/>
      <c r="I235" s="19"/>
      <c r="J235" s="19"/>
      <c r="K235" s="19"/>
      <c r="L235" s="19"/>
    </row>
    <row r="236" spans="2:12">
      <c r="B236" s="18"/>
      <c r="C236" s="18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2:12">
      <c r="B237" s="18"/>
      <c r="C237" s="18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2:12">
      <c r="B238" s="18"/>
      <c r="C238" s="18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2:12">
      <c r="B239" s="18"/>
      <c r="C239" s="18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2:12">
      <c r="B240" s="18"/>
      <c r="C240" s="18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2:12">
      <c r="B241" s="18"/>
      <c r="C241" s="18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2:12">
      <c r="B242" s="18"/>
      <c r="C242" s="18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2:12">
      <c r="B243" s="18"/>
      <c r="C243" s="18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2:12">
      <c r="B244" s="18"/>
      <c r="C244" s="18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2:12">
      <c r="B245" s="18"/>
      <c r="C245" s="18"/>
      <c r="D245" s="19"/>
      <c r="E245" s="19"/>
      <c r="F245" s="19"/>
      <c r="G245" s="19"/>
      <c r="H245" s="19"/>
      <c r="I245" s="19"/>
      <c r="J245" s="19"/>
      <c r="K245" s="19"/>
      <c r="L245" s="19"/>
    </row>
    <row r="246" spans="2:12">
      <c r="B246" s="18"/>
      <c r="C246" s="18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2:12">
      <c r="B247" s="18"/>
      <c r="C247" s="18"/>
      <c r="D247" s="19"/>
      <c r="E247" s="19"/>
      <c r="F247" s="19"/>
      <c r="G247" s="19"/>
      <c r="H247" s="19"/>
      <c r="I247" s="19"/>
      <c r="J247" s="19"/>
      <c r="K247" s="19"/>
      <c r="L247" s="19"/>
    </row>
    <row r="248" spans="2:12">
      <c r="B248" s="18"/>
      <c r="C248" s="18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2:12">
      <c r="B249" s="18"/>
      <c r="C249" s="18"/>
      <c r="D249" s="19"/>
      <c r="E249" s="19"/>
      <c r="F249" s="19"/>
      <c r="G249" s="19"/>
      <c r="H249" s="19"/>
      <c r="I249" s="19"/>
      <c r="J249" s="19"/>
      <c r="K249" s="19"/>
      <c r="L249" s="19"/>
    </row>
    <row r="250" spans="2:12">
      <c r="B250" s="18"/>
      <c r="C250" s="18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2:12">
      <c r="B251" s="18"/>
      <c r="C251" s="18"/>
      <c r="D251" s="19"/>
      <c r="E251" s="19"/>
      <c r="F251" s="19"/>
      <c r="G251" s="19"/>
      <c r="H251" s="19"/>
      <c r="I251" s="19"/>
      <c r="J251" s="19"/>
      <c r="K251" s="19"/>
      <c r="L251" s="19"/>
    </row>
    <row r="252" spans="2:12">
      <c r="B252" s="18"/>
      <c r="C252" s="18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2:12">
      <c r="B253" s="18"/>
      <c r="C253" s="18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2:12">
      <c r="B254" s="18"/>
      <c r="C254" s="18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2:12">
      <c r="B255" s="18"/>
      <c r="C255" s="18"/>
      <c r="D255" s="19"/>
      <c r="E255" s="19"/>
      <c r="F255" s="19"/>
      <c r="G255" s="19"/>
      <c r="H255" s="19"/>
      <c r="I255" s="19"/>
      <c r="J255" s="19"/>
      <c r="K255" s="19"/>
      <c r="L255" s="19"/>
    </row>
    <row r="256" spans="2:12">
      <c r="B256" s="18"/>
      <c r="C256" s="18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2:12">
      <c r="B257" s="18"/>
      <c r="C257" s="18"/>
      <c r="D257" s="19"/>
      <c r="E257" s="19"/>
      <c r="F257" s="19"/>
      <c r="G257" s="19"/>
      <c r="H257" s="19"/>
      <c r="I257" s="19"/>
      <c r="J257" s="19"/>
      <c r="K257" s="19"/>
      <c r="L257" s="19"/>
    </row>
    <row r="258" spans="2:12">
      <c r="B258" s="18"/>
      <c r="C258" s="18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2:12">
      <c r="B259" s="18"/>
      <c r="C259" s="18"/>
      <c r="D259" s="19"/>
      <c r="E259" s="19"/>
      <c r="F259" s="19"/>
      <c r="G259" s="19"/>
      <c r="H259" s="19"/>
      <c r="I259" s="19"/>
      <c r="J259" s="19"/>
      <c r="K259" s="19"/>
      <c r="L259" s="19"/>
    </row>
    <row r="260" spans="2:12">
      <c r="B260" s="18"/>
      <c r="C260" s="18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2:12">
      <c r="B261" s="18"/>
      <c r="C261" s="18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2:12">
      <c r="B262" s="18"/>
      <c r="C262" s="18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2:12">
      <c r="B263" s="18"/>
      <c r="C263" s="18"/>
      <c r="D263" s="19"/>
      <c r="E263" s="19"/>
      <c r="F263" s="19"/>
      <c r="G263" s="19"/>
      <c r="H263" s="19"/>
      <c r="I263" s="19"/>
      <c r="J263" s="19"/>
      <c r="K263" s="19"/>
      <c r="L263" s="19"/>
    </row>
    <row r="264" spans="2:12">
      <c r="B264" s="18"/>
      <c r="C264" s="18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2:12">
      <c r="B265" s="18"/>
      <c r="C265" s="18"/>
      <c r="D265" s="19"/>
      <c r="E265" s="19"/>
      <c r="F265" s="19"/>
      <c r="G265" s="19"/>
      <c r="H265" s="19"/>
      <c r="I265" s="19"/>
      <c r="J265" s="19"/>
      <c r="K265" s="19"/>
      <c r="L265" s="19"/>
    </row>
    <row r="266" spans="2:12">
      <c r="B266" s="18"/>
      <c r="C266" s="18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2:12">
      <c r="B267" s="18"/>
      <c r="C267" s="18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2:12">
      <c r="B268" s="18"/>
      <c r="C268" s="18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2:12">
      <c r="B269" s="18"/>
      <c r="C269" s="18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2:12">
      <c r="B270" s="18"/>
      <c r="C270" s="18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2:12">
      <c r="B271" s="18"/>
      <c r="C271" s="18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2:12">
      <c r="B272" s="18"/>
      <c r="C272" s="18"/>
      <c r="D272" s="19"/>
      <c r="E272" s="19"/>
      <c r="F272" s="19"/>
      <c r="G272" s="19"/>
      <c r="H272" s="19"/>
      <c r="I272" s="19"/>
      <c r="J272" s="19"/>
      <c r="K272" s="19"/>
      <c r="L272" s="19"/>
    </row>
    <row r="273" spans="2:12">
      <c r="B273" s="18"/>
      <c r="C273" s="18"/>
      <c r="D273" s="19"/>
      <c r="E273" s="19"/>
      <c r="F273" s="19"/>
      <c r="G273" s="19"/>
      <c r="H273" s="19"/>
      <c r="I273" s="19"/>
      <c r="J273" s="19"/>
      <c r="K273" s="19"/>
      <c r="L273" s="19"/>
    </row>
    <row r="274" spans="2:12">
      <c r="B274" s="18"/>
      <c r="C274" s="18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2:12">
      <c r="B275" s="18"/>
      <c r="C275" s="18"/>
      <c r="D275" s="19"/>
      <c r="E275" s="19"/>
      <c r="F275" s="19"/>
      <c r="G275" s="19"/>
      <c r="H275" s="19"/>
      <c r="I275" s="19"/>
      <c r="J275" s="19"/>
      <c r="K275" s="19"/>
      <c r="L275" s="19"/>
    </row>
    <row r="276" spans="2:12">
      <c r="B276" s="18"/>
      <c r="C276" s="18"/>
      <c r="D276" s="19"/>
      <c r="E276" s="19"/>
      <c r="F276" s="19"/>
      <c r="G276" s="19"/>
      <c r="H276" s="19"/>
      <c r="I276" s="19"/>
      <c r="J276" s="19"/>
      <c r="K276" s="19"/>
      <c r="L276" s="19"/>
    </row>
    <row r="277" spans="2:12">
      <c r="B277" s="18"/>
      <c r="C277" s="18"/>
      <c r="D277" s="19"/>
      <c r="E277" s="19"/>
      <c r="F277" s="19"/>
      <c r="G277" s="19"/>
      <c r="H277" s="19"/>
      <c r="I277" s="19"/>
      <c r="J277" s="19"/>
      <c r="K277" s="19"/>
      <c r="L277" s="19"/>
    </row>
    <row r="278" spans="2:12">
      <c r="B278" s="18"/>
      <c r="C278" s="18"/>
      <c r="D278" s="19"/>
      <c r="E278" s="19"/>
      <c r="F278" s="19"/>
      <c r="G278" s="19"/>
      <c r="H278" s="19"/>
      <c r="I278" s="19"/>
      <c r="J278" s="19"/>
      <c r="K278" s="19"/>
      <c r="L278" s="19"/>
    </row>
    <row r="279" spans="2:12">
      <c r="B279" s="18"/>
      <c r="C279" s="18"/>
      <c r="D279" s="19"/>
      <c r="E279" s="19"/>
      <c r="F279" s="19"/>
      <c r="G279" s="19"/>
      <c r="H279" s="19"/>
      <c r="I279" s="19"/>
      <c r="J279" s="19"/>
      <c r="K279" s="19"/>
      <c r="L279" s="19"/>
    </row>
    <row r="280" spans="2:12">
      <c r="B280" s="18"/>
      <c r="C280" s="18"/>
      <c r="D280" s="19"/>
      <c r="E280" s="19"/>
      <c r="F280" s="19"/>
      <c r="G280" s="19"/>
      <c r="H280" s="19"/>
      <c r="I280" s="19"/>
      <c r="J280" s="19"/>
      <c r="K280" s="19"/>
      <c r="L280" s="19"/>
    </row>
    <row r="281" spans="2:12">
      <c r="B281" s="18"/>
      <c r="C281" s="18"/>
      <c r="D281" s="19"/>
      <c r="E281" s="19"/>
      <c r="F281" s="19"/>
      <c r="G281" s="19"/>
      <c r="H281" s="19"/>
      <c r="I281" s="19"/>
      <c r="J281" s="19"/>
      <c r="K281" s="19"/>
      <c r="L281" s="19"/>
    </row>
    <row r="282" spans="2:12">
      <c r="B282" s="18"/>
      <c r="C282" s="18"/>
      <c r="D282" s="19"/>
      <c r="E282" s="19"/>
      <c r="F282" s="19"/>
      <c r="G282" s="19"/>
      <c r="H282" s="19"/>
      <c r="I282" s="19"/>
      <c r="J282" s="19"/>
      <c r="K282" s="19"/>
      <c r="L282" s="19"/>
    </row>
    <row r="283" spans="2:12">
      <c r="B283" s="18"/>
      <c r="C283" s="18"/>
      <c r="D283" s="19"/>
      <c r="E283" s="19"/>
      <c r="F283" s="19"/>
      <c r="G283" s="19"/>
      <c r="H283" s="19"/>
      <c r="I283" s="19"/>
      <c r="J283" s="19"/>
      <c r="K283" s="19"/>
      <c r="L283" s="19"/>
    </row>
    <row r="284" spans="2:12">
      <c r="B284" s="18"/>
      <c r="C284" s="18"/>
      <c r="D284" s="19"/>
      <c r="E284" s="19"/>
      <c r="F284" s="19"/>
      <c r="G284" s="19"/>
      <c r="H284" s="19"/>
      <c r="I284" s="19"/>
      <c r="J284" s="19"/>
      <c r="K284" s="19"/>
      <c r="L284" s="19"/>
    </row>
    <row r="285" spans="2:12">
      <c r="B285" s="18"/>
      <c r="C285" s="18"/>
      <c r="D285" s="19"/>
      <c r="E285" s="19"/>
      <c r="F285" s="19"/>
      <c r="G285" s="19"/>
      <c r="H285" s="19"/>
      <c r="I285" s="19"/>
      <c r="J285" s="19"/>
      <c r="K285" s="19"/>
      <c r="L285" s="19"/>
    </row>
    <row r="286" spans="2:12">
      <c r="B286" s="18"/>
      <c r="C286" s="18"/>
      <c r="D286" s="19"/>
      <c r="E286" s="19"/>
      <c r="F286" s="19"/>
      <c r="G286" s="19"/>
      <c r="H286" s="19"/>
      <c r="I286" s="19"/>
      <c r="J286" s="19"/>
      <c r="K286" s="19"/>
      <c r="L286" s="19"/>
    </row>
    <row r="287" spans="2:12">
      <c r="B287" s="18"/>
      <c r="C287" s="18"/>
      <c r="D287" s="19"/>
      <c r="E287" s="19"/>
      <c r="F287" s="19"/>
      <c r="G287" s="19"/>
      <c r="H287" s="19"/>
      <c r="I287" s="19"/>
      <c r="J287" s="19"/>
      <c r="K287" s="19"/>
      <c r="L287" s="19"/>
    </row>
    <row r="288" spans="2:12">
      <c r="B288" s="18"/>
      <c r="C288" s="18"/>
      <c r="D288" s="19"/>
      <c r="E288" s="19"/>
      <c r="F288" s="19"/>
      <c r="G288" s="19"/>
      <c r="H288" s="19"/>
      <c r="I288" s="19"/>
      <c r="J288" s="19"/>
      <c r="K288" s="19"/>
      <c r="L288" s="19"/>
    </row>
    <row r="289" spans="2:12">
      <c r="B289" s="18"/>
      <c r="C289" s="18"/>
      <c r="D289" s="19"/>
      <c r="E289" s="19"/>
      <c r="F289" s="19"/>
      <c r="G289" s="19"/>
      <c r="H289" s="19"/>
      <c r="I289" s="19"/>
      <c r="J289" s="19"/>
      <c r="K289" s="19"/>
      <c r="L289" s="19"/>
    </row>
    <row r="290" spans="2:12">
      <c r="B290" s="18"/>
      <c r="C290" s="18"/>
      <c r="D290" s="19"/>
      <c r="E290" s="19"/>
      <c r="F290" s="19"/>
      <c r="G290" s="19"/>
      <c r="H290" s="19"/>
      <c r="I290" s="19"/>
      <c r="J290" s="19"/>
      <c r="K290" s="19"/>
      <c r="L290" s="19"/>
    </row>
    <row r="291" spans="2:12">
      <c r="B291" s="18"/>
      <c r="C291" s="18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2:12">
      <c r="B292" s="18"/>
      <c r="C292" s="18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2:12">
      <c r="B293" s="18"/>
      <c r="C293" s="18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2:12">
      <c r="B294" s="18"/>
      <c r="C294" s="18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2:12">
      <c r="B295" s="18"/>
      <c r="C295" s="18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2:12">
      <c r="B296" s="18"/>
      <c r="C296" s="18"/>
      <c r="D296" s="19"/>
      <c r="E296" s="19"/>
      <c r="F296" s="19"/>
      <c r="G296" s="19"/>
      <c r="H296" s="19"/>
      <c r="I296" s="19"/>
      <c r="J296" s="19"/>
      <c r="K296" s="19"/>
      <c r="L296" s="19"/>
    </row>
    <row r="297" spans="2:12">
      <c r="B297" s="18"/>
      <c r="C297" s="18"/>
      <c r="D297" s="19"/>
      <c r="E297" s="19"/>
      <c r="F297" s="19"/>
      <c r="G297" s="19"/>
      <c r="H297" s="19"/>
      <c r="I297" s="19"/>
      <c r="J297" s="19"/>
      <c r="K297" s="19"/>
      <c r="L297" s="19"/>
    </row>
    <row r="298" spans="2:12">
      <c r="B298" s="18"/>
      <c r="C298" s="18"/>
      <c r="D298" s="19"/>
      <c r="E298" s="19"/>
      <c r="F298" s="19"/>
      <c r="G298" s="19"/>
      <c r="H298" s="19"/>
      <c r="I298" s="19"/>
      <c r="J298" s="19"/>
      <c r="K298" s="19"/>
      <c r="L298" s="19"/>
    </row>
    <row r="299" spans="2:12">
      <c r="B299" s="18"/>
      <c r="C299" s="18"/>
      <c r="D299" s="19"/>
      <c r="E299" s="19"/>
      <c r="F299" s="19"/>
      <c r="G299" s="19"/>
      <c r="H299" s="19"/>
      <c r="I299" s="19"/>
      <c r="J299" s="19"/>
      <c r="K299" s="19"/>
      <c r="L299" s="19"/>
    </row>
    <row r="300" spans="2:12">
      <c r="B300" s="18"/>
      <c r="C300" s="18"/>
      <c r="D300" s="19"/>
      <c r="E300" s="19"/>
      <c r="F300" s="19"/>
      <c r="G300" s="19"/>
      <c r="H300" s="19"/>
      <c r="I300" s="19"/>
      <c r="J300" s="19"/>
      <c r="K300" s="19"/>
      <c r="L300" s="19"/>
    </row>
    <row r="301" spans="2:12">
      <c r="B301" s="18"/>
      <c r="C301" s="18"/>
      <c r="D301" s="19"/>
      <c r="E301" s="19"/>
      <c r="F301" s="19"/>
      <c r="G301" s="19"/>
      <c r="H301" s="19"/>
      <c r="I301" s="19"/>
      <c r="J301" s="19"/>
      <c r="K301" s="19"/>
      <c r="L301" s="19"/>
    </row>
    <row r="302" spans="2:12">
      <c r="B302" s="18"/>
      <c r="C302" s="18"/>
      <c r="D302" s="19"/>
      <c r="E302" s="19"/>
      <c r="F302" s="19"/>
      <c r="G302" s="19"/>
      <c r="H302" s="19"/>
      <c r="I302" s="19"/>
      <c r="J302" s="19"/>
      <c r="K302" s="19"/>
      <c r="L302" s="19"/>
    </row>
    <row r="303" spans="2:12">
      <c r="B303" s="18"/>
      <c r="C303" s="18"/>
      <c r="D303" s="19"/>
      <c r="E303" s="19"/>
      <c r="F303" s="19"/>
      <c r="G303" s="19"/>
      <c r="H303" s="19"/>
      <c r="I303" s="19"/>
      <c r="J303" s="19"/>
      <c r="K303" s="19"/>
      <c r="L303" s="19"/>
    </row>
    <row r="304" spans="2:12">
      <c r="B304" s="18"/>
      <c r="C304" s="18"/>
      <c r="D304" s="19"/>
      <c r="E304" s="19"/>
      <c r="F304" s="19"/>
      <c r="G304" s="19"/>
      <c r="H304" s="19"/>
      <c r="I304" s="19"/>
      <c r="J304" s="19"/>
      <c r="K304" s="19"/>
      <c r="L304" s="19"/>
    </row>
    <row r="305" spans="2:12">
      <c r="B305" s="18"/>
      <c r="C305" s="18"/>
      <c r="D305" s="19"/>
      <c r="E305" s="19"/>
      <c r="F305" s="19"/>
      <c r="G305" s="19"/>
      <c r="H305" s="19"/>
      <c r="I305" s="19"/>
      <c r="J305" s="19"/>
      <c r="K305" s="19"/>
      <c r="L305" s="19"/>
    </row>
    <row r="306" spans="2:12">
      <c r="B306" s="18"/>
      <c r="C306" s="18"/>
      <c r="D306" s="19"/>
      <c r="E306" s="19"/>
      <c r="F306" s="19"/>
      <c r="G306" s="19"/>
      <c r="H306" s="19"/>
      <c r="I306" s="19"/>
      <c r="J306" s="19"/>
      <c r="K306" s="19"/>
      <c r="L306" s="19"/>
    </row>
    <row r="307" spans="2:12">
      <c r="B307" s="18"/>
      <c r="C307" s="18"/>
      <c r="D307" s="19"/>
      <c r="E307" s="19"/>
      <c r="F307" s="19"/>
      <c r="G307" s="19"/>
      <c r="H307" s="19"/>
      <c r="I307" s="19"/>
      <c r="J307" s="19"/>
      <c r="K307" s="19"/>
      <c r="L307" s="19"/>
    </row>
    <row r="308" spans="2:12">
      <c r="B308" s="18"/>
      <c r="C308" s="18"/>
      <c r="D308" s="19"/>
      <c r="E308" s="19"/>
      <c r="F308" s="19"/>
      <c r="G308" s="19"/>
      <c r="H308" s="19"/>
      <c r="I308" s="19"/>
      <c r="J308" s="19"/>
      <c r="K308" s="19"/>
      <c r="L308" s="19"/>
    </row>
    <row r="309" spans="2:12">
      <c r="B309" s="18"/>
      <c r="C309" s="18"/>
      <c r="D309" s="19"/>
      <c r="E309" s="19"/>
      <c r="F309" s="19"/>
      <c r="G309" s="19"/>
      <c r="H309" s="19"/>
      <c r="I309" s="19"/>
      <c r="J309" s="19"/>
      <c r="K309" s="19"/>
      <c r="L309" s="19"/>
    </row>
    <row r="310" spans="2:12">
      <c r="B310" s="18"/>
      <c r="C310" s="18"/>
      <c r="D310" s="19"/>
      <c r="E310" s="19"/>
      <c r="F310" s="19"/>
      <c r="G310" s="19"/>
      <c r="H310" s="19"/>
      <c r="I310" s="19"/>
      <c r="J310" s="19"/>
      <c r="K310" s="19"/>
      <c r="L310" s="19"/>
    </row>
    <row r="311" spans="2:12">
      <c r="B311" s="18"/>
      <c r="C311" s="18"/>
      <c r="D311" s="19"/>
      <c r="E311" s="19"/>
      <c r="F311" s="19"/>
      <c r="G311" s="19"/>
      <c r="H311" s="19"/>
      <c r="I311" s="19"/>
      <c r="J311" s="19"/>
      <c r="K311" s="19"/>
      <c r="L311" s="19"/>
    </row>
    <row r="312" spans="2:12">
      <c r="B312" s="18"/>
      <c r="C312" s="18"/>
      <c r="D312" s="19"/>
      <c r="E312" s="19"/>
      <c r="F312" s="19"/>
      <c r="G312" s="19"/>
      <c r="H312" s="19"/>
      <c r="I312" s="19"/>
      <c r="J312" s="19"/>
      <c r="K312" s="19"/>
      <c r="L312" s="19"/>
    </row>
    <row r="313" spans="2:12">
      <c r="B313" s="18"/>
      <c r="C313" s="18"/>
      <c r="D313" s="19"/>
      <c r="E313" s="19"/>
      <c r="F313" s="19"/>
      <c r="G313" s="19"/>
      <c r="H313" s="19"/>
      <c r="I313" s="19"/>
      <c r="J313" s="19"/>
      <c r="K313" s="19"/>
      <c r="L313" s="19"/>
    </row>
    <row r="314" spans="2:12">
      <c r="B314" s="18"/>
      <c r="C314" s="18"/>
      <c r="D314" s="19"/>
      <c r="E314" s="19"/>
      <c r="F314" s="19"/>
      <c r="G314" s="19"/>
      <c r="H314" s="19"/>
      <c r="I314" s="19"/>
      <c r="J314" s="19"/>
      <c r="K314" s="19"/>
      <c r="L314" s="19"/>
    </row>
    <row r="315" spans="2:12">
      <c r="B315" s="18"/>
      <c r="C315" s="18"/>
      <c r="D315" s="19"/>
      <c r="E315" s="19"/>
      <c r="F315" s="19"/>
      <c r="G315" s="19"/>
      <c r="H315" s="19"/>
      <c r="I315" s="19"/>
      <c r="J315" s="19"/>
      <c r="K315" s="19"/>
      <c r="L315" s="19"/>
    </row>
    <row r="316" spans="2:12">
      <c r="B316" s="18"/>
      <c r="C316" s="18"/>
      <c r="D316" s="19"/>
      <c r="E316" s="19"/>
      <c r="F316" s="19"/>
      <c r="G316" s="19"/>
      <c r="H316" s="19"/>
      <c r="I316" s="19"/>
      <c r="J316" s="19"/>
      <c r="K316" s="19"/>
      <c r="L316" s="19"/>
    </row>
    <row r="317" spans="2:12">
      <c r="B317" s="18"/>
      <c r="C317" s="18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2:12">
      <c r="B318" s="18"/>
      <c r="C318" s="18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2:12">
      <c r="B319" s="18"/>
      <c r="C319" s="18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2:12">
      <c r="B320" s="18"/>
      <c r="C320" s="18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2:2">
      <c r="B321" s="18"/>
    </row>
  </sheetData>
  <sheetProtection algorithmName="SHA-512" hashValue="sItIm8RZH9x3FzooUnRyIa0UhG3VuPTblRQvUT20O6tSbjUmenqR9qmuPGXA0hR5hdf/Q8fr1SKNEUaLOsnE8w==" saltValue="eyV5jiHwXqjwUCr+x1/THA==" spinCount="100000" sheet="1" objects="1" scenarios="1"/>
  <phoneticPr fontId="25" type="noConversion"/>
  <pageMargins left="0.25" right="0.25" top="0.75" bottom="0.75" header="0.3" footer="0.3"/>
  <pageSetup paperSize="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2">
    <tabColor indexed="15"/>
    <pageSetUpPr fitToPage="1"/>
  </sheetPr>
  <dimension ref="B1:S59"/>
  <sheetViews>
    <sheetView zoomScale="80" zoomScaleNormal="80" workbookViewId="0">
      <pane ySplit="7" topLeftCell="A17" activePane="bottomLeft" state="frozenSplit"/>
      <selection pane="bottomLeft" activeCell="G46" sqref="G46"/>
    </sheetView>
  </sheetViews>
  <sheetFormatPr defaultColWidth="9.140625" defaultRowHeight="15" customHeight="1"/>
  <cols>
    <col min="1" max="1" width="2.140625" style="2" bestFit="1" customWidth="1"/>
    <col min="2" max="2" width="9.140625" style="2"/>
    <col min="3" max="3" width="34.28515625" style="51" customWidth="1"/>
    <col min="4" max="4" width="13.7109375" style="85" customWidth="1"/>
    <col min="5" max="5" width="14.42578125" style="2" customWidth="1"/>
    <col min="6" max="6" width="14.28515625" style="2" customWidth="1"/>
    <col min="7" max="7" width="14.28515625" style="90" customWidth="1"/>
    <col min="8" max="8" width="14.28515625" style="50" customWidth="1"/>
    <col min="9" max="9" width="15.42578125" style="59" bestFit="1" customWidth="1"/>
    <col min="10" max="10" width="14.28515625" style="50" customWidth="1"/>
    <col min="11" max="11" width="13.5703125" style="59" customWidth="1"/>
    <col min="12" max="12" width="14.28515625" style="50" customWidth="1"/>
    <col min="13" max="13" width="14.85546875" style="2" bestFit="1" customWidth="1"/>
    <col min="14" max="14" width="9.5703125" style="2" bestFit="1" customWidth="1"/>
    <col min="15" max="15" width="12.140625" style="2" bestFit="1" customWidth="1"/>
    <col min="16" max="16" width="12.5703125" style="2" bestFit="1" customWidth="1"/>
    <col min="17" max="17" width="16.5703125" style="2" customWidth="1"/>
    <col min="18" max="18" width="14.42578125" style="2" bestFit="1" customWidth="1"/>
    <col min="19" max="19" width="16" style="2" bestFit="1" customWidth="1"/>
    <col min="20" max="16384" width="9.140625" style="2"/>
  </cols>
  <sheetData>
    <row r="1" spans="2:17" ht="15" customHeight="1">
      <c r="F1" s="85"/>
      <c r="G1" s="144"/>
      <c r="H1" s="144"/>
    </row>
    <row r="2" spans="2:17" ht="15" customHeight="1">
      <c r="C2" s="97"/>
      <c r="F2" s="85"/>
      <c r="G2" s="144"/>
      <c r="H2" s="144"/>
      <c r="J2" s="157"/>
      <c r="O2" s="2" t="s">
        <v>137</v>
      </c>
    </row>
    <row r="3" spans="2:17" ht="15" customHeight="1">
      <c r="E3" s="85"/>
      <c r="F3" s="85"/>
      <c r="G3" s="144"/>
      <c r="H3" s="144"/>
      <c r="I3" s="144"/>
      <c r="J3" s="157"/>
    </row>
    <row r="4" spans="2:17" ht="15" customHeight="1">
      <c r="E4" s="85"/>
      <c r="F4" s="85"/>
      <c r="G4" s="144"/>
      <c r="H4" s="144"/>
      <c r="O4" s="229" t="s">
        <v>138</v>
      </c>
    </row>
    <row r="5" spans="2:17" ht="15" customHeight="1">
      <c r="E5" s="142"/>
      <c r="F5" s="85"/>
      <c r="G5" s="144"/>
      <c r="H5" s="144"/>
      <c r="I5" s="144"/>
      <c r="J5" s="144"/>
    </row>
    <row r="7" spans="2:17" s="52" customFormat="1" ht="38.25">
      <c r="C7" s="54" t="s">
        <v>139</v>
      </c>
      <c r="D7" s="55" t="s">
        <v>140</v>
      </c>
      <c r="E7" s="55" t="s">
        <v>141</v>
      </c>
      <c r="F7" s="143" t="s">
        <v>142</v>
      </c>
      <c r="G7" s="167">
        <f>ROUND(Forside!F43,0)</f>
        <v>312935</v>
      </c>
      <c r="H7" s="168">
        <f>ROUND(Forside!F44,0)</f>
        <v>166735</v>
      </c>
      <c r="I7" s="120" t="s">
        <v>143</v>
      </c>
      <c r="J7" s="120" t="s">
        <v>144</v>
      </c>
      <c r="K7" s="120" t="s">
        <v>145</v>
      </c>
      <c r="L7" s="89" t="s">
        <v>146</v>
      </c>
      <c r="M7" s="89" t="s">
        <v>147</v>
      </c>
    </row>
    <row r="8" spans="2:17" ht="15" customHeight="1">
      <c r="B8" s="2">
        <v>22305</v>
      </c>
      <c r="C8" s="132" t="s">
        <v>148</v>
      </c>
      <c r="D8" s="78">
        <v>0</v>
      </c>
      <c r="E8" s="78">
        <v>22</v>
      </c>
      <c r="F8" s="78"/>
      <c r="G8" s="84">
        <f>D8*$G$7</f>
        <v>0</v>
      </c>
      <c r="H8" s="84">
        <f>E8*$H$7</f>
        <v>3668170</v>
      </c>
      <c r="I8" s="84">
        <f>G8+H8</f>
        <v>3668170</v>
      </c>
      <c r="J8" s="84">
        <f>(VLOOKUP(C8,Kapitaltilskudd!$A$3:$C$40,3,FALSE)*(D8+E8+F8))</f>
        <v>290400</v>
      </c>
      <c r="K8" s="160">
        <f>I8+J8</f>
        <v>3958570</v>
      </c>
      <c r="L8" s="84">
        <f>ROUNDDOWN(K8/4,-3)</f>
        <v>989000</v>
      </c>
      <c r="M8" s="203">
        <f>ROUNDDOWN((K8-L8)/9,-3)</f>
        <v>329000</v>
      </c>
      <c r="N8" s="205"/>
      <c r="O8" s="205"/>
      <c r="P8" s="158"/>
      <c r="Q8" s="159"/>
    </row>
    <row r="9" spans="2:17" ht="15" customHeight="1">
      <c r="B9" s="2">
        <v>24215</v>
      </c>
      <c r="C9" s="131" t="s">
        <v>149</v>
      </c>
      <c r="D9" s="78">
        <v>15</v>
      </c>
      <c r="E9" s="78">
        <v>36</v>
      </c>
      <c r="F9" s="78"/>
      <c r="G9" s="84">
        <f t="shared" ref="G9:G41" si="0">D9*$G$7</f>
        <v>4694025</v>
      </c>
      <c r="H9" s="84">
        <f t="shared" ref="H9:H41" si="1">E9*$H$7</f>
        <v>6002460</v>
      </c>
      <c r="I9" s="84">
        <f t="shared" ref="I9:I41" si="2">G9+H9</f>
        <v>10696485</v>
      </c>
      <c r="J9" s="84">
        <f>(VLOOKUP(C9,Kapitaltilskudd!$A$3:$C$40,3,FALSE)*(D9+E9+F9))</f>
        <v>673200</v>
      </c>
      <c r="K9" s="160">
        <f t="shared" ref="K9:K40" si="3">I9+J9</f>
        <v>11369685</v>
      </c>
      <c r="L9" s="84">
        <f t="shared" ref="L9:L42" si="4">ROUNDDOWN(K9/4,-3)</f>
        <v>2842000</v>
      </c>
      <c r="M9" s="203">
        <f t="shared" ref="M9:M42" si="5">ROUNDDOWN((K9-L9)/9,-3)</f>
        <v>947000</v>
      </c>
      <c r="O9" s="205"/>
      <c r="P9" s="158"/>
      <c r="Q9" s="159"/>
    </row>
    <row r="10" spans="2:17" ht="15" customHeight="1">
      <c r="B10" s="2">
        <v>24217</v>
      </c>
      <c r="C10" s="131" t="s">
        <v>150</v>
      </c>
      <c r="D10" s="78">
        <v>18</v>
      </c>
      <c r="E10" s="78">
        <v>30</v>
      </c>
      <c r="F10" s="78"/>
      <c r="G10" s="84">
        <f t="shared" si="0"/>
        <v>5632830</v>
      </c>
      <c r="H10" s="84">
        <f>E10*$H$7</f>
        <v>5002050</v>
      </c>
      <c r="I10" s="84">
        <f t="shared" si="2"/>
        <v>10634880</v>
      </c>
      <c r="J10" s="84">
        <f>(VLOOKUP(C10,Kapitaltilskudd!$A$3:$C$40,3,FALSE)*(D10+E10+F10))</f>
        <v>633600</v>
      </c>
      <c r="K10" s="160">
        <f t="shared" si="3"/>
        <v>11268480</v>
      </c>
      <c r="L10" s="84">
        <f t="shared" si="4"/>
        <v>2817000</v>
      </c>
      <c r="M10" s="203">
        <f t="shared" si="5"/>
        <v>939000</v>
      </c>
      <c r="O10" s="205"/>
      <c r="P10" s="158"/>
      <c r="Q10" s="159"/>
    </row>
    <row r="11" spans="2:17" ht="15" customHeight="1">
      <c r="B11" s="2">
        <v>24218</v>
      </c>
      <c r="C11" s="131" t="s">
        <v>151</v>
      </c>
      <c r="D11" s="78">
        <v>18</v>
      </c>
      <c r="E11" s="78">
        <v>31</v>
      </c>
      <c r="F11" s="78"/>
      <c r="G11" s="84">
        <f t="shared" si="0"/>
        <v>5632830</v>
      </c>
      <c r="H11" s="84">
        <f t="shared" si="1"/>
        <v>5168785</v>
      </c>
      <c r="I11" s="84">
        <f t="shared" si="2"/>
        <v>10801615</v>
      </c>
      <c r="J11" s="84">
        <f>(VLOOKUP(C11,Kapitaltilskudd!$A$3:$C$40,3,FALSE)*(D11+E11+F11))</f>
        <v>646800</v>
      </c>
      <c r="K11" s="160">
        <f t="shared" si="3"/>
        <v>11448415</v>
      </c>
      <c r="L11" s="84">
        <f t="shared" si="4"/>
        <v>2862000</v>
      </c>
      <c r="M11" s="203">
        <f t="shared" si="5"/>
        <v>954000</v>
      </c>
      <c r="O11" s="205"/>
      <c r="P11" s="158"/>
      <c r="Q11" s="159"/>
    </row>
    <row r="12" spans="2:17" ht="15" customHeight="1">
      <c r="B12" s="2">
        <v>24219</v>
      </c>
      <c r="C12" s="131" t="s">
        <v>152</v>
      </c>
      <c r="D12" s="78">
        <v>23</v>
      </c>
      <c r="E12" s="78">
        <v>26</v>
      </c>
      <c r="F12" s="78"/>
      <c r="G12" s="84">
        <f t="shared" si="0"/>
        <v>7197505</v>
      </c>
      <c r="H12" s="84">
        <f t="shared" si="1"/>
        <v>4335110</v>
      </c>
      <c r="I12" s="84">
        <f t="shared" si="2"/>
        <v>11532615</v>
      </c>
      <c r="J12" s="84">
        <f>(VLOOKUP(C12,Kapitaltilskudd!$A$3:$C$40,3,FALSE)*(D12+E12+F12))</f>
        <v>646800</v>
      </c>
      <c r="K12" s="160">
        <f t="shared" si="3"/>
        <v>12179415</v>
      </c>
      <c r="L12" s="84">
        <f t="shared" si="4"/>
        <v>3044000</v>
      </c>
      <c r="M12" s="203">
        <f t="shared" si="5"/>
        <v>1015000</v>
      </c>
      <c r="O12" s="205"/>
      <c r="P12" s="158"/>
      <c r="Q12" s="159"/>
    </row>
    <row r="13" spans="2:17" ht="15" customHeight="1">
      <c r="B13" s="2">
        <v>24223</v>
      </c>
      <c r="C13" s="131" t="s">
        <v>153</v>
      </c>
      <c r="D13" s="78">
        <v>20</v>
      </c>
      <c r="E13" s="78">
        <v>30</v>
      </c>
      <c r="F13" s="78"/>
      <c r="G13" s="84">
        <f t="shared" si="0"/>
        <v>6258700</v>
      </c>
      <c r="H13" s="84">
        <f t="shared" si="1"/>
        <v>5002050</v>
      </c>
      <c r="I13" s="84">
        <f t="shared" si="2"/>
        <v>11260750</v>
      </c>
      <c r="J13" s="84">
        <f>(VLOOKUP(C13,Kapitaltilskudd!$A$3:$C$40,3,FALSE)*(D13+E13+F13))</f>
        <v>660000</v>
      </c>
      <c r="K13" s="160">
        <f t="shared" si="3"/>
        <v>11920750</v>
      </c>
      <c r="L13" s="84">
        <f t="shared" si="4"/>
        <v>2980000</v>
      </c>
      <c r="M13" s="203">
        <f t="shared" si="5"/>
        <v>993000</v>
      </c>
      <c r="O13" s="205"/>
      <c r="P13" s="158"/>
      <c r="Q13" s="159"/>
    </row>
    <row r="14" spans="2:17" ht="15" customHeight="1">
      <c r="B14" s="2">
        <v>24224</v>
      </c>
      <c r="C14" s="131" t="s">
        <v>154</v>
      </c>
      <c r="D14" s="78">
        <v>16</v>
      </c>
      <c r="E14" s="78">
        <v>23</v>
      </c>
      <c r="F14" s="78"/>
      <c r="G14" s="84">
        <f t="shared" si="0"/>
        <v>5006960</v>
      </c>
      <c r="H14" s="84">
        <f t="shared" si="1"/>
        <v>3834905</v>
      </c>
      <c r="I14" s="84">
        <f t="shared" si="2"/>
        <v>8841865</v>
      </c>
      <c r="J14" s="84">
        <f>(VLOOKUP(C14,Kapitaltilskudd!$A$3:$C$40,3,FALSE)*(D14+E14+F14))</f>
        <v>514800</v>
      </c>
      <c r="K14" s="160">
        <f t="shared" si="3"/>
        <v>9356665</v>
      </c>
      <c r="L14" s="84">
        <f t="shared" si="4"/>
        <v>2339000</v>
      </c>
      <c r="M14" s="203">
        <f t="shared" si="5"/>
        <v>779000</v>
      </c>
      <c r="O14" s="205"/>
      <c r="P14" s="158"/>
      <c r="Q14" s="159"/>
    </row>
    <row r="15" spans="2:17" ht="15" customHeight="1">
      <c r="B15" s="2">
        <v>24225</v>
      </c>
      <c r="C15" s="131" t="s">
        <v>155</v>
      </c>
      <c r="D15" s="78">
        <v>10</v>
      </c>
      <c r="E15" s="78">
        <v>18</v>
      </c>
      <c r="F15" s="78"/>
      <c r="G15" s="84">
        <f t="shared" si="0"/>
        <v>3129350</v>
      </c>
      <c r="H15" s="84">
        <f t="shared" si="1"/>
        <v>3001230</v>
      </c>
      <c r="I15" s="84">
        <f t="shared" si="2"/>
        <v>6130580</v>
      </c>
      <c r="J15" s="84">
        <f>(VLOOKUP(C15,Kapitaltilskudd!$A$3:$C$40,3,FALSE)*(D15+E15+F15))</f>
        <v>369600</v>
      </c>
      <c r="K15" s="160">
        <f t="shared" si="3"/>
        <v>6500180</v>
      </c>
      <c r="L15" s="84">
        <f t="shared" si="4"/>
        <v>1625000</v>
      </c>
      <c r="M15" s="203">
        <f t="shared" si="5"/>
        <v>541000</v>
      </c>
      <c r="O15" s="205"/>
      <c r="P15" s="158"/>
      <c r="Q15" s="159"/>
    </row>
    <row r="16" spans="2:17" ht="15" customHeight="1">
      <c r="B16" s="2">
        <v>24226</v>
      </c>
      <c r="C16" s="131" t="s">
        <v>156</v>
      </c>
      <c r="D16" s="78">
        <v>27</v>
      </c>
      <c r="E16" s="78">
        <v>42</v>
      </c>
      <c r="F16" s="78"/>
      <c r="G16" s="84">
        <f t="shared" si="0"/>
        <v>8449245</v>
      </c>
      <c r="H16" s="84">
        <f t="shared" si="1"/>
        <v>7002870</v>
      </c>
      <c r="I16" s="84">
        <f t="shared" si="2"/>
        <v>15452115</v>
      </c>
      <c r="J16" s="84">
        <f>(VLOOKUP(C16,Kapitaltilskudd!$A$3:$C$40,3,FALSE)*(D16+E16+F16))</f>
        <v>910800</v>
      </c>
      <c r="K16" s="160">
        <f t="shared" si="3"/>
        <v>16362915</v>
      </c>
      <c r="L16" s="84">
        <f t="shared" si="4"/>
        <v>4090000</v>
      </c>
      <c r="M16" s="203">
        <f t="shared" si="5"/>
        <v>1363000</v>
      </c>
      <c r="O16" s="205"/>
      <c r="P16" s="158"/>
      <c r="Q16" s="159"/>
    </row>
    <row r="17" spans="2:19" ht="15" customHeight="1">
      <c r="B17" s="2">
        <v>24227</v>
      </c>
      <c r="C17" s="131" t="s">
        <v>157</v>
      </c>
      <c r="D17" s="78">
        <v>39</v>
      </c>
      <c r="E17" s="78">
        <v>75</v>
      </c>
      <c r="F17" s="78"/>
      <c r="G17" s="84">
        <f t="shared" si="0"/>
        <v>12204465</v>
      </c>
      <c r="H17" s="84">
        <f t="shared" si="1"/>
        <v>12505125</v>
      </c>
      <c r="I17" s="84">
        <f t="shared" si="2"/>
        <v>24709590</v>
      </c>
      <c r="J17" s="84">
        <f>(VLOOKUP(C17,Kapitaltilskudd!$A$3:$C$40,3,FALSE)*(D17+E17+F17))</f>
        <v>1504800</v>
      </c>
      <c r="K17" s="160">
        <f t="shared" si="3"/>
        <v>26214390</v>
      </c>
      <c r="L17" s="84">
        <f t="shared" si="4"/>
        <v>6553000</v>
      </c>
      <c r="M17" s="203">
        <f t="shared" si="5"/>
        <v>2184000</v>
      </c>
      <c r="O17" s="205"/>
      <c r="P17" s="158"/>
      <c r="Q17" s="159"/>
    </row>
    <row r="18" spans="2:19" ht="15" customHeight="1">
      <c r="B18" s="2">
        <v>24228</v>
      </c>
      <c r="C18" s="131" t="s">
        <v>158</v>
      </c>
      <c r="D18" s="78">
        <v>10</v>
      </c>
      <c r="E18" s="78">
        <v>22</v>
      </c>
      <c r="F18" s="78"/>
      <c r="G18" s="84">
        <f t="shared" si="0"/>
        <v>3129350</v>
      </c>
      <c r="H18" s="84">
        <f t="shared" si="1"/>
        <v>3668170</v>
      </c>
      <c r="I18" s="84">
        <f t="shared" si="2"/>
        <v>6797520</v>
      </c>
      <c r="J18" s="84">
        <f>(VLOOKUP(C18,Kapitaltilskudd!$A$3:$C$40,3,FALSE)*(D18+E18+F18))</f>
        <v>422400</v>
      </c>
      <c r="K18" s="160">
        <f t="shared" si="3"/>
        <v>7219920</v>
      </c>
      <c r="L18" s="84">
        <f t="shared" si="4"/>
        <v>1804000</v>
      </c>
      <c r="M18" s="203">
        <f t="shared" si="5"/>
        <v>601000</v>
      </c>
      <c r="O18" s="205"/>
      <c r="P18" s="158"/>
      <c r="Q18" s="159"/>
    </row>
    <row r="19" spans="2:19" ht="15" customHeight="1">
      <c r="B19" s="2">
        <v>24231</v>
      </c>
      <c r="C19" s="206" t="s">
        <v>159</v>
      </c>
      <c r="D19" s="78"/>
      <c r="E19" s="78">
        <v>40</v>
      </c>
      <c r="F19" s="78"/>
      <c r="G19" s="84">
        <f t="shared" si="0"/>
        <v>0</v>
      </c>
      <c r="H19" s="112">
        <f>E19*Satser!$D$20</f>
        <v>1076000</v>
      </c>
      <c r="I19" s="84">
        <f t="shared" si="2"/>
        <v>1076000</v>
      </c>
      <c r="J19" s="84"/>
      <c r="K19" s="160">
        <f t="shared" si="3"/>
        <v>1076000</v>
      </c>
      <c r="L19" s="84">
        <f t="shared" si="4"/>
        <v>269000</v>
      </c>
      <c r="M19" s="203">
        <f t="shared" si="5"/>
        <v>89000</v>
      </c>
      <c r="O19" s="205"/>
      <c r="P19" s="158"/>
      <c r="Q19" s="159"/>
    </row>
    <row r="20" spans="2:19" ht="15" customHeight="1">
      <c r="B20" s="2">
        <v>24232</v>
      </c>
      <c r="C20" s="131" t="s">
        <v>160</v>
      </c>
      <c r="D20" s="78">
        <v>10</v>
      </c>
      <c r="E20" s="78">
        <v>16</v>
      </c>
      <c r="F20" s="78"/>
      <c r="G20" s="84">
        <f t="shared" si="0"/>
        <v>3129350</v>
      </c>
      <c r="H20" s="84">
        <f t="shared" si="1"/>
        <v>2667760</v>
      </c>
      <c r="I20" s="84">
        <f t="shared" si="2"/>
        <v>5797110</v>
      </c>
      <c r="J20" s="84">
        <f>(VLOOKUP(C20,Kapitaltilskudd!$A$3:$C$40,3,FALSE)*(D20+E20+F20))</f>
        <v>343200</v>
      </c>
      <c r="K20" s="160">
        <f t="shared" si="3"/>
        <v>6140310</v>
      </c>
      <c r="L20" s="84">
        <f t="shared" si="4"/>
        <v>1535000</v>
      </c>
      <c r="M20" s="203">
        <f t="shared" si="5"/>
        <v>511000</v>
      </c>
      <c r="O20" s="205"/>
      <c r="P20" s="158"/>
      <c r="Q20" s="159"/>
      <c r="S20" s="230"/>
    </row>
    <row r="21" spans="2:19" ht="15" customHeight="1">
      <c r="B21" s="2">
        <v>24233</v>
      </c>
      <c r="C21" s="131" t="s">
        <v>161</v>
      </c>
      <c r="D21" s="78">
        <v>15</v>
      </c>
      <c r="E21" s="78">
        <v>26</v>
      </c>
      <c r="F21" s="78"/>
      <c r="G21" s="84">
        <f t="shared" si="0"/>
        <v>4694025</v>
      </c>
      <c r="H21" s="84">
        <f t="shared" si="1"/>
        <v>4335110</v>
      </c>
      <c r="I21" s="84">
        <f t="shared" si="2"/>
        <v>9029135</v>
      </c>
      <c r="J21" s="84">
        <f>(VLOOKUP(C21,Kapitaltilskudd!$A$3:$C$40,3,FALSE)*(D21+E21+F21))</f>
        <v>541200</v>
      </c>
      <c r="K21" s="160">
        <f>I21+J21</f>
        <v>9570335</v>
      </c>
      <c r="L21" s="84">
        <f t="shared" si="4"/>
        <v>2392000</v>
      </c>
      <c r="M21" s="203">
        <f t="shared" si="5"/>
        <v>797000</v>
      </c>
      <c r="O21" s="205"/>
      <c r="P21" s="158"/>
      <c r="Q21" s="159"/>
      <c r="S21" s="230"/>
    </row>
    <row r="22" spans="2:19" ht="15" customHeight="1">
      <c r="B22" s="2">
        <v>24234</v>
      </c>
      <c r="C22" s="131" t="s">
        <v>162</v>
      </c>
      <c r="D22" s="78">
        <v>20</v>
      </c>
      <c r="E22" s="78">
        <v>38</v>
      </c>
      <c r="F22" s="78"/>
      <c r="G22" s="84">
        <f t="shared" si="0"/>
        <v>6258700</v>
      </c>
      <c r="H22" s="84">
        <f t="shared" si="1"/>
        <v>6335930</v>
      </c>
      <c r="I22" s="84">
        <f t="shared" si="2"/>
        <v>12594630</v>
      </c>
      <c r="J22" s="84">
        <f>(VLOOKUP(C22,Kapitaltilskudd!$A$3:$C$40,3,FALSE)*(D22+E22+F22))</f>
        <v>765600</v>
      </c>
      <c r="K22" s="160">
        <f t="shared" si="3"/>
        <v>13360230</v>
      </c>
      <c r="L22" s="84">
        <f t="shared" si="4"/>
        <v>3340000</v>
      </c>
      <c r="M22" s="203">
        <f t="shared" si="5"/>
        <v>1113000</v>
      </c>
      <c r="O22" s="205"/>
      <c r="P22" s="158"/>
      <c r="Q22" s="159"/>
    </row>
    <row r="23" spans="2:19" ht="15" customHeight="1">
      <c r="B23" s="2">
        <v>24235</v>
      </c>
      <c r="C23" s="131" t="s">
        <v>163</v>
      </c>
      <c r="D23" s="78">
        <v>34</v>
      </c>
      <c r="E23" s="78">
        <v>45</v>
      </c>
      <c r="F23" s="78"/>
      <c r="G23" s="84">
        <f t="shared" si="0"/>
        <v>10639790</v>
      </c>
      <c r="H23" s="84">
        <f t="shared" si="1"/>
        <v>7503075</v>
      </c>
      <c r="I23" s="84">
        <f t="shared" si="2"/>
        <v>18142865</v>
      </c>
      <c r="J23" s="84">
        <f>(VLOOKUP(C23,Kapitaltilskudd!$A$3:$C$40,3,FALSE)*(D23+E23+F23))</f>
        <v>1042800</v>
      </c>
      <c r="K23" s="160">
        <f t="shared" si="3"/>
        <v>19185665</v>
      </c>
      <c r="L23" s="84">
        <f t="shared" si="4"/>
        <v>4796000</v>
      </c>
      <c r="M23" s="203">
        <f t="shared" si="5"/>
        <v>1598000</v>
      </c>
      <c r="O23" s="205"/>
      <c r="P23" s="158"/>
      <c r="Q23" s="159"/>
    </row>
    <row r="24" spans="2:19" ht="15" customHeight="1">
      <c r="B24" s="2">
        <v>24236</v>
      </c>
      <c r="C24" s="131" t="s">
        <v>164</v>
      </c>
      <c r="D24" s="78">
        <v>14</v>
      </c>
      <c r="E24" s="78">
        <v>22</v>
      </c>
      <c r="F24" s="78"/>
      <c r="G24" s="84">
        <f t="shared" si="0"/>
        <v>4381090</v>
      </c>
      <c r="H24" s="84">
        <f t="shared" si="1"/>
        <v>3668170</v>
      </c>
      <c r="I24" s="84">
        <f t="shared" si="2"/>
        <v>8049260</v>
      </c>
      <c r="J24" s="84">
        <f>(VLOOKUP(C24,Kapitaltilskudd!$A$3:$C$40,3,FALSE)*(D24+E24+F24))</f>
        <v>475200</v>
      </c>
      <c r="K24" s="160">
        <f t="shared" si="3"/>
        <v>8524460</v>
      </c>
      <c r="L24" s="84">
        <f t="shared" si="4"/>
        <v>2131000</v>
      </c>
      <c r="M24" s="203">
        <f t="shared" si="5"/>
        <v>710000</v>
      </c>
      <c r="O24" s="205"/>
      <c r="P24" s="158"/>
      <c r="Q24" s="159"/>
    </row>
    <row r="25" spans="2:19" ht="15" customHeight="1">
      <c r="B25" s="2">
        <v>24237</v>
      </c>
      <c r="C25" s="131" t="s">
        <v>165</v>
      </c>
      <c r="D25" s="78">
        <v>7</v>
      </c>
      <c r="E25" s="78">
        <v>14</v>
      </c>
      <c r="F25" s="78"/>
      <c r="G25" s="84">
        <f t="shared" si="0"/>
        <v>2190545</v>
      </c>
      <c r="H25" s="84">
        <f t="shared" si="1"/>
        <v>2334290</v>
      </c>
      <c r="I25" s="84">
        <f t="shared" si="2"/>
        <v>4524835</v>
      </c>
      <c r="J25" s="84">
        <f>(VLOOKUP(C25,Kapitaltilskudd!$A$3:$C$40,3,FALSE)*(D25+E25+F25))</f>
        <v>277200</v>
      </c>
      <c r="K25" s="160">
        <f t="shared" si="3"/>
        <v>4802035</v>
      </c>
      <c r="L25" s="84">
        <f t="shared" si="4"/>
        <v>1200000</v>
      </c>
      <c r="M25" s="203">
        <f t="shared" si="5"/>
        <v>400000</v>
      </c>
      <c r="O25" s="205"/>
      <c r="P25" s="158"/>
      <c r="Q25" s="159"/>
    </row>
    <row r="26" spans="2:19" ht="15" customHeight="1">
      <c r="B26" s="2">
        <v>24238</v>
      </c>
      <c r="C26" s="131" t="s">
        <v>166</v>
      </c>
      <c r="D26" s="78">
        <v>7</v>
      </c>
      <c r="E26" s="78">
        <v>11</v>
      </c>
      <c r="F26" s="78"/>
      <c r="G26" s="84">
        <f t="shared" si="0"/>
        <v>2190545</v>
      </c>
      <c r="H26" s="84">
        <f t="shared" si="1"/>
        <v>1834085</v>
      </c>
      <c r="I26" s="84">
        <f t="shared" si="2"/>
        <v>4024630</v>
      </c>
      <c r="J26" s="84">
        <f>(VLOOKUP(C26,Kapitaltilskudd!$A$3:$C$40,3,FALSE)*(D26+E26+F26))</f>
        <v>237600</v>
      </c>
      <c r="K26" s="160">
        <f t="shared" si="3"/>
        <v>4262230</v>
      </c>
      <c r="L26" s="84">
        <f t="shared" si="4"/>
        <v>1065000</v>
      </c>
      <c r="M26" s="203">
        <f t="shared" si="5"/>
        <v>355000</v>
      </c>
      <c r="O26" s="205"/>
      <c r="P26" s="158"/>
      <c r="Q26" s="159"/>
    </row>
    <row r="27" spans="2:19" ht="15" customHeight="1">
      <c r="B27" s="2">
        <v>24242</v>
      </c>
      <c r="C27" s="131" t="s">
        <v>167</v>
      </c>
      <c r="D27" s="78">
        <v>48</v>
      </c>
      <c r="E27" s="78">
        <v>95</v>
      </c>
      <c r="F27" s="78"/>
      <c r="G27" s="84">
        <f t="shared" si="0"/>
        <v>15020880</v>
      </c>
      <c r="H27" s="84">
        <f t="shared" si="1"/>
        <v>15839825</v>
      </c>
      <c r="I27" s="84">
        <f t="shared" si="2"/>
        <v>30860705</v>
      </c>
      <c r="J27" s="84">
        <f>(VLOOKUP(C27,Kapitaltilskudd!$A$3:$C$40,3,FALSE)*(D27+E27+F27))</f>
        <v>1887600</v>
      </c>
      <c r="K27" s="160">
        <f t="shared" si="3"/>
        <v>32748305</v>
      </c>
      <c r="L27" s="84">
        <f t="shared" si="4"/>
        <v>8187000</v>
      </c>
      <c r="M27" s="203">
        <f t="shared" si="5"/>
        <v>2729000</v>
      </c>
      <c r="O27" s="205"/>
      <c r="P27" s="158"/>
      <c r="Q27" s="159"/>
    </row>
    <row r="28" spans="2:19" ht="15" customHeight="1">
      <c r="B28" s="2">
        <v>24245</v>
      </c>
      <c r="C28" s="131" t="s">
        <v>168</v>
      </c>
      <c r="D28" s="78">
        <v>30</v>
      </c>
      <c r="E28" s="78">
        <v>60</v>
      </c>
      <c r="F28" s="78"/>
      <c r="G28" s="84">
        <f t="shared" si="0"/>
        <v>9388050</v>
      </c>
      <c r="H28" s="84">
        <f t="shared" si="1"/>
        <v>10004100</v>
      </c>
      <c r="I28" s="84">
        <f t="shared" si="2"/>
        <v>19392150</v>
      </c>
      <c r="J28" s="84">
        <f>(VLOOKUP(C28,Kapitaltilskudd!$A$3:$C$40,3,FALSE)*(D28+E28+F28))</f>
        <v>1188000</v>
      </c>
      <c r="K28" s="160">
        <f t="shared" si="3"/>
        <v>20580150</v>
      </c>
      <c r="L28" s="84">
        <f t="shared" si="4"/>
        <v>5145000</v>
      </c>
      <c r="M28" s="203">
        <f t="shared" si="5"/>
        <v>1715000</v>
      </c>
      <c r="O28" s="205"/>
      <c r="P28" s="158"/>
      <c r="Q28" s="159"/>
    </row>
    <row r="29" spans="2:19" ht="15" customHeight="1">
      <c r="B29" s="2">
        <v>24246</v>
      </c>
      <c r="C29" s="131" t="s">
        <v>169</v>
      </c>
      <c r="D29" s="78">
        <v>10</v>
      </c>
      <c r="E29" s="78">
        <v>18</v>
      </c>
      <c r="F29" s="78"/>
      <c r="G29" s="84">
        <f t="shared" si="0"/>
        <v>3129350</v>
      </c>
      <c r="H29" s="84">
        <f t="shared" si="1"/>
        <v>3001230</v>
      </c>
      <c r="I29" s="84">
        <f t="shared" si="2"/>
        <v>6130580</v>
      </c>
      <c r="J29" s="84">
        <f>(VLOOKUP(C29,Kapitaltilskudd!$A$3:$C$40,3,FALSE)*(D29+E29+F29))</f>
        <v>369600</v>
      </c>
      <c r="K29" s="160">
        <f t="shared" si="3"/>
        <v>6500180</v>
      </c>
      <c r="L29" s="84">
        <f t="shared" si="4"/>
        <v>1625000</v>
      </c>
      <c r="M29" s="203">
        <f t="shared" si="5"/>
        <v>541000</v>
      </c>
      <c r="O29" s="205"/>
      <c r="P29" s="158"/>
      <c r="Q29" s="159"/>
    </row>
    <row r="30" spans="2:19" ht="15" customHeight="1">
      <c r="B30" s="2">
        <v>24248</v>
      </c>
      <c r="C30" s="131" t="s">
        <v>170</v>
      </c>
      <c r="D30" s="78">
        <v>42</v>
      </c>
      <c r="E30" s="78">
        <v>58</v>
      </c>
      <c r="F30" s="78"/>
      <c r="G30" s="84">
        <f t="shared" si="0"/>
        <v>13143270</v>
      </c>
      <c r="H30" s="84">
        <f t="shared" si="1"/>
        <v>9670630</v>
      </c>
      <c r="I30" s="84">
        <f t="shared" si="2"/>
        <v>22813900</v>
      </c>
      <c r="J30" s="84">
        <f>(VLOOKUP(C30,Kapitaltilskudd!$A$3:$C$40,3,FALSE)*(D30+E30+F30))</f>
        <v>1320000</v>
      </c>
      <c r="K30" s="160">
        <f t="shared" si="3"/>
        <v>24133900</v>
      </c>
      <c r="L30" s="84">
        <f t="shared" si="4"/>
        <v>6033000</v>
      </c>
      <c r="M30" s="203">
        <f t="shared" si="5"/>
        <v>2011000</v>
      </c>
      <c r="O30" s="205"/>
      <c r="P30" s="158"/>
      <c r="Q30" s="159"/>
    </row>
    <row r="31" spans="2:19" ht="15" customHeight="1">
      <c r="B31" s="2">
        <v>24249</v>
      </c>
      <c r="C31" s="131" t="s">
        <v>171</v>
      </c>
      <c r="D31" s="78">
        <v>12</v>
      </c>
      <c r="E31" s="78">
        <v>28</v>
      </c>
      <c r="F31" s="78"/>
      <c r="G31" s="84">
        <f t="shared" si="0"/>
        <v>3755220</v>
      </c>
      <c r="H31" s="84">
        <f>E31*$H$7</f>
        <v>4668580</v>
      </c>
      <c r="I31" s="84">
        <f>G31+H31</f>
        <v>8423800</v>
      </c>
      <c r="J31" s="84">
        <f>(VLOOKUP(C31,Kapitaltilskudd!$A$3:$C$40,3,FALSE)*(D31+E31+F31))</f>
        <v>528000</v>
      </c>
      <c r="K31" s="160">
        <f>I31+J31</f>
        <v>8951800</v>
      </c>
      <c r="L31" s="84">
        <f t="shared" si="4"/>
        <v>2237000</v>
      </c>
      <c r="M31" s="203">
        <f t="shared" si="5"/>
        <v>746000</v>
      </c>
      <c r="O31" s="205"/>
      <c r="P31" s="158"/>
      <c r="Q31" s="159"/>
    </row>
    <row r="32" spans="2:19" ht="15" customHeight="1">
      <c r="B32" s="2">
        <v>24250</v>
      </c>
      <c r="C32" s="131" t="s">
        <v>172</v>
      </c>
      <c r="D32" s="78">
        <v>13</v>
      </c>
      <c r="E32" s="78">
        <v>11</v>
      </c>
      <c r="F32" s="78"/>
      <c r="G32" s="84">
        <f t="shared" si="0"/>
        <v>4068155</v>
      </c>
      <c r="H32" s="84">
        <f t="shared" si="1"/>
        <v>1834085</v>
      </c>
      <c r="I32" s="84">
        <f t="shared" si="2"/>
        <v>5902240</v>
      </c>
      <c r="J32" s="84">
        <f>(VLOOKUP(C32,Kapitaltilskudd!$A$3:$C$40,3,FALSE)*(D32+E32+F32))</f>
        <v>316800</v>
      </c>
      <c r="K32" s="160">
        <f t="shared" si="3"/>
        <v>6219040</v>
      </c>
      <c r="L32" s="84">
        <f t="shared" si="4"/>
        <v>1554000</v>
      </c>
      <c r="M32" s="203">
        <f t="shared" si="5"/>
        <v>518000</v>
      </c>
      <c r="O32" s="205"/>
      <c r="P32" s="158"/>
      <c r="Q32" s="159"/>
    </row>
    <row r="33" spans="2:17" ht="15" customHeight="1">
      <c r="B33" s="2">
        <v>24251</v>
      </c>
      <c r="C33" s="131" t="s">
        <v>173</v>
      </c>
      <c r="D33" s="78">
        <v>15</v>
      </c>
      <c r="E33" s="78">
        <v>23</v>
      </c>
      <c r="F33" s="78"/>
      <c r="G33" s="84">
        <f t="shared" si="0"/>
        <v>4694025</v>
      </c>
      <c r="H33" s="84">
        <f t="shared" si="1"/>
        <v>3834905</v>
      </c>
      <c r="I33" s="84">
        <f t="shared" si="2"/>
        <v>8528930</v>
      </c>
      <c r="J33" s="84">
        <f>(VLOOKUP(C33,Kapitaltilskudd!$A$3:$C$40,3,FALSE)*(D33+E33+F33))</f>
        <v>501600</v>
      </c>
      <c r="K33" s="160">
        <f t="shared" si="3"/>
        <v>9030530</v>
      </c>
      <c r="L33" s="84">
        <f t="shared" si="4"/>
        <v>2257000</v>
      </c>
      <c r="M33" s="203">
        <f t="shared" si="5"/>
        <v>752000</v>
      </c>
      <c r="O33" s="205"/>
      <c r="P33" s="158"/>
      <c r="Q33" s="159"/>
    </row>
    <row r="34" spans="2:17" ht="15" customHeight="1">
      <c r="B34" s="2">
        <v>24255</v>
      </c>
      <c r="C34" s="206" t="s">
        <v>174</v>
      </c>
      <c r="D34" s="78">
        <v>15</v>
      </c>
      <c r="E34" s="78">
        <v>37</v>
      </c>
      <c r="F34" s="78"/>
      <c r="G34" s="84">
        <f t="shared" si="0"/>
        <v>4694025</v>
      </c>
      <c r="H34" s="84">
        <f t="shared" si="1"/>
        <v>6169195</v>
      </c>
      <c r="I34" s="84">
        <f t="shared" si="2"/>
        <v>10863220</v>
      </c>
      <c r="J34" s="84">
        <f>(VLOOKUP(C34,Kapitaltilskudd!$A$3:$C$40,3,FALSE)*(D34+E34+F34))</f>
        <v>686400</v>
      </c>
      <c r="K34" s="160">
        <f t="shared" si="3"/>
        <v>11549620</v>
      </c>
      <c r="L34" s="84">
        <f t="shared" si="4"/>
        <v>2887000</v>
      </c>
      <c r="M34" s="203">
        <f t="shared" si="5"/>
        <v>962000</v>
      </c>
      <c r="O34" s="205"/>
      <c r="P34" s="158"/>
      <c r="Q34" s="159"/>
    </row>
    <row r="35" spans="2:17" ht="15" customHeight="1">
      <c r="B35" s="2">
        <v>24256</v>
      </c>
      <c r="C35" s="131" t="s">
        <v>175</v>
      </c>
      <c r="D35" s="78">
        <v>61</v>
      </c>
      <c r="E35" s="78">
        <v>88</v>
      </c>
      <c r="F35" s="78"/>
      <c r="G35" s="84">
        <f t="shared" si="0"/>
        <v>19089035</v>
      </c>
      <c r="H35" s="84">
        <f t="shared" si="1"/>
        <v>14672680</v>
      </c>
      <c r="I35" s="84">
        <f t="shared" si="2"/>
        <v>33761715</v>
      </c>
      <c r="J35" s="84">
        <f>(VLOOKUP(C35,Kapitaltilskudd!$A$3:$C$40,3,FALSE)*(D35+E35+F35))</f>
        <v>1966800</v>
      </c>
      <c r="K35" s="160">
        <f t="shared" si="3"/>
        <v>35728515</v>
      </c>
      <c r="L35" s="84">
        <f t="shared" si="4"/>
        <v>8932000</v>
      </c>
      <c r="M35" s="203">
        <f t="shared" si="5"/>
        <v>2977000</v>
      </c>
      <c r="O35" s="205"/>
      <c r="P35" s="158"/>
      <c r="Q35" s="159"/>
    </row>
    <row r="36" spans="2:17" ht="15" customHeight="1">
      <c r="B36" s="2">
        <v>24257</v>
      </c>
      <c r="C36" s="131" t="s">
        <v>176</v>
      </c>
      <c r="D36" s="78">
        <v>23</v>
      </c>
      <c r="E36" s="78">
        <v>36</v>
      </c>
      <c r="F36" s="78"/>
      <c r="G36" s="84">
        <f t="shared" si="0"/>
        <v>7197505</v>
      </c>
      <c r="H36" s="84">
        <f t="shared" si="1"/>
        <v>6002460</v>
      </c>
      <c r="I36" s="84">
        <f t="shared" si="2"/>
        <v>13199965</v>
      </c>
      <c r="J36" s="84">
        <f>(VLOOKUP(C36,Kapitaltilskudd!$A$3:$C$40,3,FALSE)*(D36+E36+F36))</f>
        <v>778800</v>
      </c>
      <c r="K36" s="160">
        <f t="shared" si="3"/>
        <v>13978765</v>
      </c>
      <c r="L36" s="84">
        <f t="shared" si="4"/>
        <v>3494000</v>
      </c>
      <c r="M36" s="203">
        <f t="shared" si="5"/>
        <v>1164000</v>
      </c>
      <c r="O36" s="205"/>
      <c r="P36" s="158"/>
      <c r="Q36" s="159"/>
    </row>
    <row r="37" spans="2:17" ht="15" customHeight="1">
      <c r="B37" s="2">
        <v>24258</v>
      </c>
      <c r="C37" s="132" t="s">
        <v>177</v>
      </c>
      <c r="D37" s="78">
        <v>33</v>
      </c>
      <c r="E37" s="78">
        <v>60</v>
      </c>
      <c r="F37" s="78"/>
      <c r="G37" s="84">
        <f t="shared" si="0"/>
        <v>10326855</v>
      </c>
      <c r="H37" s="84">
        <f t="shared" si="1"/>
        <v>10004100</v>
      </c>
      <c r="I37" s="84">
        <f t="shared" si="2"/>
        <v>20330955</v>
      </c>
      <c r="J37" s="84">
        <f>(VLOOKUP(C37,Kapitaltilskudd!$A$3:$C$40,3,FALSE)*(D37+E37+F37))</f>
        <v>1227600</v>
      </c>
      <c r="K37" s="160">
        <f>I37+J37</f>
        <v>21558555</v>
      </c>
      <c r="L37" s="84">
        <f t="shared" si="4"/>
        <v>5389000</v>
      </c>
      <c r="M37" s="203">
        <f t="shared" si="5"/>
        <v>1796000</v>
      </c>
      <c r="O37" s="205"/>
      <c r="P37" s="158"/>
      <c r="Q37" s="159"/>
    </row>
    <row r="38" spans="2:17" ht="15" customHeight="1">
      <c r="B38" s="2">
        <v>24259</v>
      </c>
      <c r="C38" s="132" t="s">
        <v>178</v>
      </c>
      <c r="D38" s="78">
        <v>24.82</v>
      </c>
      <c r="E38" s="78">
        <v>56</v>
      </c>
      <c r="F38" s="78"/>
      <c r="G38" s="84">
        <f>D38*$G$7</f>
        <v>7767046.7000000002</v>
      </c>
      <c r="H38" s="84">
        <f t="shared" si="1"/>
        <v>9337160</v>
      </c>
      <c r="I38" s="84">
        <f t="shared" si="2"/>
        <v>17104206.699999999</v>
      </c>
      <c r="J38" s="112">
        <f>(VLOOKUP(C38,Kapitaltilskudd!$A$3:$C$40,3,FALSE)*(D38+E38+F38-30))+(30*Kapitaltilskudd!$F$13)</f>
        <v>1735824</v>
      </c>
      <c r="K38" s="160">
        <f t="shared" si="3"/>
        <v>18840030.699999999</v>
      </c>
      <c r="L38" s="84">
        <f t="shared" si="4"/>
        <v>4710000</v>
      </c>
      <c r="M38" s="203">
        <f t="shared" si="5"/>
        <v>1570000</v>
      </c>
      <c r="O38" s="205"/>
      <c r="P38" s="158"/>
      <c r="Q38" s="159"/>
    </row>
    <row r="39" spans="2:17" ht="15" customHeight="1">
      <c r="B39" s="2">
        <v>24261</v>
      </c>
      <c r="C39" s="271" t="s">
        <v>179</v>
      </c>
      <c r="D39" s="78">
        <v>5</v>
      </c>
      <c r="E39" s="78">
        <v>18</v>
      </c>
      <c r="F39" s="78"/>
      <c r="G39" s="84">
        <f t="shared" si="0"/>
        <v>1564675</v>
      </c>
      <c r="H39" s="84">
        <f t="shared" si="1"/>
        <v>3001230</v>
      </c>
      <c r="I39" s="84">
        <f t="shared" si="2"/>
        <v>4565905</v>
      </c>
      <c r="J39" s="84">
        <f>(VLOOKUP(C39,Kapitaltilskudd!$A$3:$C$40,3,FALSE)*(D39+E39+F39))</f>
        <v>303600</v>
      </c>
      <c r="K39" s="160">
        <f t="shared" si="3"/>
        <v>4869505</v>
      </c>
      <c r="L39" s="84">
        <f t="shared" si="4"/>
        <v>1217000</v>
      </c>
      <c r="M39" s="203">
        <f t="shared" si="5"/>
        <v>405000</v>
      </c>
      <c r="O39" s="205"/>
      <c r="P39" s="158"/>
      <c r="Q39" s="159"/>
    </row>
    <row r="40" spans="2:17" ht="15" customHeight="1">
      <c r="B40" s="2">
        <v>24262</v>
      </c>
      <c r="C40" s="271" t="s">
        <v>180</v>
      </c>
      <c r="D40" s="78">
        <v>19</v>
      </c>
      <c r="E40" s="78">
        <v>34</v>
      </c>
      <c r="F40" s="78"/>
      <c r="G40" s="84">
        <f t="shared" si="0"/>
        <v>5945765</v>
      </c>
      <c r="H40" s="84">
        <f t="shared" si="1"/>
        <v>5668990</v>
      </c>
      <c r="I40" s="84">
        <f t="shared" si="2"/>
        <v>11614755</v>
      </c>
      <c r="J40" s="84">
        <f>(VLOOKUP(C40,Kapitaltilskudd!$A$3:$C$40,3,FALSE)*(D40+E40+F40))</f>
        <v>699600</v>
      </c>
      <c r="K40" s="160">
        <f t="shared" si="3"/>
        <v>12314355</v>
      </c>
      <c r="L40" s="84">
        <f t="shared" si="4"/>
        <v>3078000</v>
      </c>
      <c r="M40" s="203">
        <f t="shared" si="5"/>
        <v>1026000</v>
      </c>
      <c r="O40" s="205"/>
      <c r="P40" s="158"/>
      <c r="Q40" s="159"/>
    </row>
    <row r="41" spans="2:17" ht="15" customHeight="1">
      <c r="B41" s="2">
        <v>24263</v>
      </c>
      <c r="C41" s="132" t="s">
        <v>181</v>
      </c>
      <c r="D41" s="78">
        <v>17</v>
      </c>
      <c r="E41" s="78">
        <v>34</v>
      </c>
      <c r="F41" s="78"/>
      <c r="G41" s="84">
        <f t="shared" si="0"/>
        <v>5319895</v>
      </c>
      <c r="H41" s="84">
        <f t="shared" si="1"/>
        <v>5668990</v>
      </c>
      <c r="I41" s="84">
        <f t="shared" si="2"/>
        <v>10988885</v>
      </c>
      <c r="J41" s="84">
        <f>(VLOOKUP(C41,Kapitaltilskudd!$A$3:$C$40,3,FALSE)*(D41+E41+F41))</f>
        <v>673200</v>
      </c>
      <c r="K41" s="160">
        <f>I41+J41</f>
        <v>11662085</v>
      </c>
      <c r="L41" s="84">
        <f t="shared" si="4"/>
        <v>2915000</v>
      </c>
      <c r="M41" s="203">
        <f t="shared" si="5"/>
        <v>971000</v>
      </c>
      <c r="O41" s="205"/>
      <c r="P41" s="158"/>
      <c r="Q41" s="159"/>
    </row>
    <row r="42" spans="2:17" ht="15" customHeight="1">
      <c r="C42" s="226" t="s">
        <v>182</v>
      </c>
      <c r="D42" s="78">
        <v>9.17999999999995</v>
      </c>
      <c r="E42" s="78">
        <v>-25</v>
      </c>
      <c r="F42" s="78"/>
      <c r="G42" s="84">
        <f>D42*$G$7</f>
        <v>2872743.2999999844</v>
      </c>
      <c r="H42" s="84">
        <f>E42*$H$7</f>
        <v>-4168375</v>
      </c>
      <c r="I42" s="84">
        <f t="shared" ref="I42" si="6">G42+H42</f>
        <v>-1295631.7000000156</v>
      </c>
      <c r="J42" s="84">
        <f>(Kapitaltilskudd!F7*(D42+E42+F42))</f>
        <v>-208824.00000000067</v>
      </c>
      <c r="K42" s="228">
        <f>I42+J42</f>
        <v>-1504455.7000000163</v>
      </c>
      <c r="L42" s="84">
        <f t="shared" si="4"/>
        <v>-376000</v>
      </c>
      <c r="M42" s="203">
        <f t="shared" si="5"/>
        <v>-125000</v>
      </c>
      <c r="Q42" s="159"/>
    </row>
    <row r="43" spans="2:17" ht="15" customHeight="1">
      <c r="C43" s="56" t="s">
        <v>183</v>
      </c>
      <c r="D43" s="57">
        <f>SUM(D8:D42)-D19</f>
        <v>680</v>
      </c>
      <c r="E43" s="57">
        <f>SUM(E8:E42)-E19</f>
        <v>1158</v>
      </c>
      <c r="F43" s="57">
        <f>SUM(F8:F42)-F20</f>
        <v>0</v>
      </c>
      <c r="G43" s="58">
        <f t="shared" ref="G43:M43" si="7">SUM(G8:G42)</f>
        <v>212795799.99999997</v>
      </c>
      <c r="H43" s="58">
        <f t="shared" si="7"/>
        <v>194155130</v>
      </c>
      <c r="I43" s="58">
        <f t="shared" si="7"/>
        <v>406950930</v>
      </c>
      <c r="J43" s="58">
        <f>SUM(J8:J42)</f>
        <v>24930600</v>
      </c>
      <c r="K43" s="58">
        <f>SUM(K8:K42)</f>
        <v>431881530</v>
      </c>
      <c r="L43" s="58">
        <f t="shared" si="7"/>
        <v>107957000</v>
      </c>
      <c r="M43" s="58">
        <f t="shared" si="7"/>
        <v>35976000</v>
      </c>
    </row>
    <row r="44" spans="2:17" ht="15" customHeight="1">
      <c r="D44" s="144"/>
      <c r="E44" s="144"/>
    </row>
    <row r="45" spans="2:17" ht="15" customHeight="1">
      <c r="D45" s="204"/>
      <c r="E45" s="204"/>
      <c r="F45" s="205"/>
    </row>
    <row r="46" spans="2:17" ht="15" customHeight="1">
      <c r="C46" s="226" t="s">
        <v>184</v>
      </c>
      <c r="D46" s="227">
        <f>686.82</f>
        <v>686.82</v>
      </c>
      <c r="E46" s="227">
        <v>1207</v>
      </c>
      <c r="F46" s="205"/>
      <c r="J46" s="59"/>
      <c r="L46" s="59"/>
      <c r="M46" s="59"/>
    </row>
    <row r="47" spans="2:17" ht="15" customHeight="1">
      <c r="C47" s="51" t="s">
        <v>185</v>
      </c>
      <c r="D47" s="245">
        <v>-16</v>
      </c>
      <c r="E47" s="245">
        <v>-24</v>
      </c>
      <c r="J47" s="249">
        <v>4.1000000000000002E-2</v>
      </c>
      <c r="K47" s="59">
        <v>443483440.18000001</v>
      </c>
      <c r="L47" s="59"/>
      <c r="M47" s="59"/>
    </row>
    <row r="48" spans="2:17" ht="15" customHeight="1">
      <c r="C48" s="51" t="s">
        <v>186</v>
      </c>
      <c r="D48" s="245">
        <f>SUM(D46:D47)</f>
        <v>670.82</v>
      </c>
      <c r="E48" s="245">
        <f>SUM(E46:E47)</f>
        <v>1183</v>
      </c>
      <c r="J48" s="249">
        <v>0.04</v>
      </c>
      <c r="K48" s="59">
        <v>443058967.69999999</v>
      </c>
      <c r="L48" s="59"/>
      <c r="M48" s="59"/>
    </row>
    <row r="49" spans="3:13" ht="15" customHeight="1">
      <c r="J49" s="59"/>
      <c r="K49" s="59">
        <f>K47-K48</f>
        <v>424472.48000001907</v>
      </c>
      <c r="L49" s="59"/>
      <c r="M49" s="59"/>
    </row>
    <row r="50" spans="3:13" ht="15" customHeight="1">
      <c r="J50" s="59"/>
      <c r="L50" s="59"/>
      <c r="M50" s="59"/>
    </row>
    <row r="51" spans="3:13" ht="15" customHeight="1">
      <c r="C51" s="226" t="s">
        <v>182</v>
      </c>
      <c r="D51" s="227">
        <v>680</v>
      </c>
      <c r="E51" s="227">
        <v>1158</v>
      </c>
      <c r="J51" s="59"/>
      <c r="L51" s="59"/>
      <c r="M51" s="59"/>
    </row>
    <row r="52" spans="3:13" ht="15" customHeight="1">
      <c r="C52" s="51" t="s">
        <v>187</v>
      </c>
      <c r="D52" s="246">
        <f>D51-D48</f>
        <v>9.17999999999995</v>
      </c>
      <c r="E52" s="246">
        <f>E51-E48</f>
        <v>-25</v>
      </c>
      <c r="J52" s="59">
        <v>1200</v>
      </c>
      <c r="K52" s="59">
        <v>432426184</v>
      </c>
      <c r="L52" s="59"/>
      <c r="M52" s="59"/>
    </row>
    <row r="53" spans="3:13" ht="15" customHeight="1">
      <c r="C53" s="51" t="s">
        <v>188</v>
      </c>
      <c r="D53" s="204">
        <f>D52*(G7+13300)</f>
        <v>2994837.2999999835</v>
      </c>
      <c r="E53" s="204">
        <f>E52*(H7+13300)</f>
        <v>-4500875</v>
      </c>
      <c r="F53" s="247">
        <f>D53+E53</f>
        <v>-1506037.7000000165</v>
      </c>
      <c r="J53" s="59">
        <f>1200*1.035</f>
        <v>1242</v>
      </c>
      <c r="K53" s="59">
        <v>431577027.99999994</v>
      </c>
      <c r="L53" s="59"/>
      <c r="M53" s="59"/>
    </row>
    <row r="54" spans="3:13" ht="15" customHeight="1">
      <c r="K54" s="59">
        <v>849156.0000000596</v>
      </c>
      <c r="M54" s="59"/>
    </row>
    <row r="55" spans="3:13" ht="15" customHeight="1">
      <c r="M55" s="59"/>
    </row>
    <row r="56" spans="3:13" ht="15" customHeight="1">
      <c r="C56" s="51" t="s">
        <v>189</v>
      </c>
      <c r="D56" s="251">
        <f>1200*1.035</f>
        <v>1242</v>
      </c>
      <c r="E56" s="204">
        <f>(D43+E43)*(D56-1200)*11</f>
        <v>849156</v>
      </c>
      <c r="M56" s="59"/>
    </row>
    <row r="57" spans="3:13" ht="15" customHeight="1">
      <c r="J57" s="50" t="s">
        <v>190</v>
      </c>
      <c r="K57" s="59">
        <v>443483440.18000001</v>
      </c>
    </row>
    <row r="58" spans="3:13" ht="15" customHeight="1">
      <c r="J58" s="50" t="s">
        <v>191</v>
      </c>
      <c r="K58" s="59">
        <v>444385173.38999999</v>
      </c>
    </row>
    <row r="59" spans="3:13" ht="15" customHeight="1">
      <c r="K59" s="59">
        <f>K57-K58</f>
        <v>-901733.20999997854</v>
      </c>
    </row>
  </sheetData>
  <autoFilter ref="A7:M43" xr:uid="{00000000-0009-0000-0000-000006000000}"/>
  <phoneticPr fontId="46" type="noConversion"/>
  <pageMargins left="0.25" right="0.25" top="0.75" bottom="0.75" header="0.3" footer="0.3"/>
  <pageSetup paperSize="9" scale="67" orientation="landscape" r:id="rId1"/>
  <headerFooter>
    <oddFooter>&amp;F</oddFooter>
  </headerFooter>
  <rowBreaks count="1" manualBreakCount="1">
    <brk id="43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K76"/>
  <sheetViews>
    <sheetView zoomScale="90" zoomScaleNormal="90" workbookViewId="0">
      <pane xSplit="1" topLeftCell="B1" activePane="topRight" state="frozen"/>
      <selection pane="topRight" activeCell="C65" sqref="C65"/>
      <selection activeCell="E36" sqref="E36"/>
    </sheetView>
  </sheetViews>
  <sheetFormatPr defaultColWidth="9.140625" defaultRowHeight="12.75"/>
  <cols>
    <col min="1" max="1" width="58.7109375" customWidth="1"/>
    <col min="2" max="2" width="14.7109375" bestFit="1" customWidth="1"/>
    <col min="3" max="3" width="18.85546875" bestFit="1" customWidth="1"/>
    <col min="4" max="28" width="14.7109375" customWidth="1"/>
    <col min="29" max="29" width="14.85546875" bestFit="1" customWidth="1"/>
    <col min="30" max="31" width="14.7109375" customWidth="1"/>
  </cols>
  <sheetData>
    <row r="1" spans="1:3" s="14" customFormat="1"/>
    <row r="2" spans="1:3" s="14" customFormat="1" ht="40.5">
      <c r="B2" s="20" t="s">
        <v>192</v>
      </c>
    </row>
    <row r="3" spans="1:3" s="14" customFormat="1"/>
    <row r="4" spans="1:3" s="14" customFormat="1"/>
    <row r="5" spans="1:3">
      <c r="A5" s="12" t="s">
        <v>193</v>
      </c>
      <c r="B5" s="27"/>
      <c r="C5" s="12"/>
    </row>
    <row r="6" spans="1:3">
      <c r="A6" s="12" t="s">
        <v>194</v>
      </c>
      <c r="B6" s="27" t="s">
        <v>195</v>
      </c>
      <c r="C6" s="12" t="s">
        <v>196</v>
      </c>
    </row>
    <row r="7" spans="1:3">
      <c r="A7" s="12" t="s">
        <v>197</v>
      </c>
      <c r="B7" s="13">
        <v>6</v>
      </c>
      <c r="C7" s="12" t="s">
        <v>198</v>
      </c>
    </row>
    <row r="8" spans="1:3">
      <c r="A8" s="12" t="s">
        <v>199</v>
      </c>
      <c r="B8" s="13">
        <v>13</v>
      </c>
      <c r="C8" s="12" t="s">
        <v>198</v>
      </c>
    </row>
    <row r="9" spans="1:3">
      <c r="A9" s="12" t="s">
        <v>200</v>
      </c>
      <c r="B9" s="13">
        <v>21</v>
      </c>
      <c r="C9" s="12" t="s">
        <v>198</v>
      </c>
    </row>
    <row r="10" spans="1:3">
      <c r="A10" s="12" t="s">
        <v>201</v>
      </c>
      <c r="B10" s="13">
        <v>29</v>
      </c>
      <c r="C10" s="12" t="s">
        <v>198</v>
      </c>
    </row>
    <row r="11" spans="1:3">
      <c r="A11" s="12" t="s">
        <v>202</v>
      </c>
      <c r="B11" s="13">
        <v>37</v>
      </c>
      <c r="C11" s="12" t="s">
        <v>198</v>
      </c>
    </row>
    <row r="12" spans="1:3">
      <c r="A12" s="12" t="s">
        <v>203</v>
      </c>
      <c r="B12" s="13">
        <v>45</v>
      </c>
      <c r="C12" s="12" t="s">
        <v>198</v>
      </c>
    </row>
    <row r="13" spans="1:3">
      <c r="A13" s="12" t="s">
        <v>204</v>
      </c>
      <c r="B13" s="13">
        <v>48</v>
      </c>
      <c r="C13" s="12" t="s">
        <v>198</v>
      </c>
    </row>
    <row r="14" spans="1:3" ht="51">
      <c r="A14" s="12" t="s">
        <v>205</v>
      </c>
      <c r="B14" s="40">
        <v>1.8</v>
      </c>
      <c r="C14" s="29" t="s">
        <v>206</v>
      </c>
    </row>
    <row r="15" spans="1:3">
      <c r="A15" s="12" t="s">
        <v>207</v>
      </c>
      <c r="B15" s="126">
        <f>+'Input, kommunale barnehager'!J55*Forside!F49*Forside!G49</f>
        <v>246674150.81754541</v>
      </c>
      <c r="C15" s="12" t="s">
        <v>208</v>
      </c>
    </row>
    <row r="16" spans="1:3">
      <c r="A16" s="12" t="s">
        <v>209</v>
      </c>
      <c r="B16" s="28">
        <f>-I50+(G76*Forside!F49*Forside!G49)</f>
        <v>-17782191.0612</v>
      </c>
      <c r="C16" s="12" t="s">
        <v>210</v>
      </c>
    </row>
    <row r="17" spans="1:10" ht="38.25">
      <c r="A17" s="12" t="s">
        <v>211</v>
      </c>
      <c r="B17" s="94">
        <v>4.2999999999999997E-2</v>
      </c>
      <c r="C17" s="29" t="s">
        <v>212</v>
      </c>
    </row>
    <row r="18" spans="1:10" ht="38.25">
      <c r="A18" s="32" t="s">
        <v>213</v>
      </c>
      <c r="B18" s="127">
        <f>ROUND(9500*1.028,-2)*0</f>
        <v>0</v>
      </c>
      <c r="C18" s="29" t="s">
        <v>212</v>
      </c>
    </row>
    <row r="19" spans="1:10" ht="38.25">
      <c r="A19" s="32" t="s">
        <v>214</v>
      </c>
      <c r="B19" s="127">
        <f>ROUND(9500*1.028,-2)*0</f>
        <v>0</v>
      </c>
      <c r="C19" s="29" t="s">
        <v>212</v>
      </c>
    </row>
    <row r="20" spans="1:10">
      <c r="A20" s="2"/>
      <c r="B20" s="5"/>
      <c r="C20" s="2"/>
    </row>
    <row r="21" spans="1:10">
      <c r="A21" s="2"/>
      <c r="B21" s="5"/>
      <c r="C21" s="2"/>
    </row>
    <row r="22" spans="1:10" s="30" customFormat="1">
      <c r="A22" s="31" t="s">
        <v>215</v>
      </c>
      <c r="B22" s="31"/>
      <c r="C22" s="31"/>
      <c r="D22" s="31"/>
      <c r="E22" s="31" t="s">
        <v>216</v>
      </c>
      <c r="F22" s="31"/>
      <c r="G22" s="31"/>
      <c r="H22" s="31"/>
      <c r="I22" s="31"/>
    </row>
    <row r="23" spans="1:10" s="30" customFormat="1">
      <c r="A23" s="32" t="s">
        <v>217</v>
      </c>
      <c r="B23" s="268"/>
      <c r="C23" s="270"/>
      <c r="D23" s="135"/>
      <c r="E23" s="268" t="s">
        <v>218</v>
      </c>
      <c r="F23" s="269"/>
      <c r="G23" s="270"/>
      <c r="H23" s="268" t="s">
        <v>29</v>
      </c>
      <c r="I23" s="270"/>
    </row>
    <row r="24" spans="1:10" s="30" customFormat="1">
      <c r="A24" s="32" t="s">
        <v>217</v>
      </c>
      <c r="B24" s="33"/>
      <c r="C24" s="33"/>
      <c r="D24" s="33"/>
      <c r="E24" s="33" t="s">
        <v>32</v>
      </c>
      <c r="F24" s="33" t="s">
        <v>33</v>
      </c>
      <c r="G24" s="33" t="s">
        <v>219</v>
      </c>
      <c r="H24" s="33" t="s">
        <v>220</v>
      </c>
      <c r="I24" s="33" t="s">
        <v>221</v>
      </c>
    </row>
    <row r="25" spans="1:10">
      <c r="A25" s="32" t="s">
        <v>222</v>
      </c>
      <c r="B25" s="80"/>
      <c r="C25" s="81"/>
      <c r="D25" s="41"/>
      <c r="E25" s="110">
        <v>0</v>
      </c>
      <c r="F25" s="111">
        <v>0</v>
      </c>
      <c r="G25" s="83">
        <f t="shared" ref="G25:G30" si="0">+E25+F25</f>
        <v>0</v>
      </c>
      <c r="H25" s="82">
        <f>+E25*B7*$B$13</f>
        <v>0</v>
      </c>
      <c r="I25" s="82">
        <f t="shared" ref="I25:I30" si="1">+F25*B7*$B$13</f>
        <v>0</v>
      </c>
    </row>
    <row r="26" spans="1:10">
      <c r="A26" s="32" t="s">
        <v>223</v>
      </c>
      <c r="B26" s="80"/>
      <c r="C26" s="81"/>
      <c r="D26" s="41"/>
      <c r="E26" s="110">
        <v>0</v>
      </c>
      <c r="F26" s="111">
        <v>0</v>
      </c>
      <c r="G26" s="83">
        <f t="shared" si="0"/>
        <v>0</v>
      </c>
      <c r="H26" s="82">
        <f t="shared" ref="H26:H29" si="2">+E26*B8*$B$13</f>
        <v>0</v>
      </c>
      <c r="I26" s="82">
        <f t="shared" si="1"/>
        <v>0</v>
      </c>
    </row>
    <row r="27" spans="1:10">
      <c r="A27" s="32" t="s">
        <v>224</v>
      </c>
      <c r="B27" s="80"/>
      <c r="C27" s="81"/>
      <c r="D27" s="41"/>
      <c r="E27" s="110">
        <v>0</v>
      </c>
      <c r="F27" s="111">
        <v>2</v>
      </c>
      <c r="G27" s="83">
        <f t="shared" si="0"/>
        <v>2</v>
      </c>
      <c r="H27" s="82">
        <f t="shared" si="2"/>
        <v>0</v>
      </c>
      <c r="I27" s="82">
        <f t="shared" si="1"/>
        <v>2016</v>
      </c>
    </row>
    <row r="28" spans="1:10">
      <c r="A28" s="32" t="s">
        <v>225</v>
      </c>
      <c r="B28" s="80"/>
      <c r="C28" s="81"/>
      <c r="D28" s="41"/>
      <c r="E28" s="110">
        <v>0</v>
      </c>
      <c r="F28" s="111">
        <v>0</v>
      </c>
      <c r="G28" s="83">
        <f t="shared" si="0"/>
        <v>0</v>
      </c>
      <c r="H28" s="82">
        <f t="shared" si="2"/>
        <v>0</v>
      </c>
      <c r="I28" s="82">
        <f t="shared" si="1"/>
        <v>0</v>
      </c>
    </row>
    <row r="29" spans="1:10">
      <c r="A29" s="32" t="s">
        <v>226</v>
      </c>
      <c r="B29" s="80"/>
      <c r="C29" s="81"/>
      <c r="D29" s="41"/>
      <c r="E29" s="110">
        <v>0</v>
      </c>
      <c r="F29" s="111">
        <v>0</v>
      </c>
      <c r="G29" s="83">
        <f t="shared" si="0"/>
        <v>0</v>
      </c>
      <c r="H29" s="82">
        <f t="shared" si="2"/>
        <v>0</v>
      </c>
      <c r="I29" s="82">
        <f t="shared" si="1"/>
        <v>0</v>
      </c>
    </row>
    <row r="30" spans="1:10">
      <c r="A30" s="32" t="s">
        <v>203</v>
      </c>
      <c r="B30" s="80"/>
      <c r="C30" s="81"/>
      <c r="D30" s="41"/>
      <c r="E30" s="110">
        <f>379</f>
        <v>379</v>
      </c>
      <c r="F30" s="111">
        <f>742</f>
        <v>742</v>
      </c>
      <c r="G30" s="83">
        <f t="shared" si="0"/>
        <v>1121</v>
      </c>
      <c r="H30" s="82">
        <f>+E30*B12*$B$13</f>
        <v>818640</v>
      </c>
      <c r="I30" s="82">
        <f t="shared" si="1"/>
        <v>1602720</v>
      </c>
    </row>
    <row r="31" spans="1:10">
      <c r="A31" s="32" t="s">
        <v>136</v>
      </c>
      <c r="B31" s="31">
        <f t="shared" ref="B31:I31" si="3">SUM(B25:B30)</f>
        <v>0</v>
      </c>
      <c r="C31" s="31">
        <f t="shared" si="3"/>
        <v>0</v>
      </c>
      <c r="D31" s="31">
        <f t="shared" si="3"/>
        <v>0</v>
      </c>
      <c r="E31" s="117">
        <f t="shared" si="3"/>
        <v>379</v>
      </c>
      <c r="F31" s="117">
        <f t="shared" si="3"/>
        <v>744</v>
      </c>
      <c r="G31" s="31">
        <f t="shared" si="3"/>
        <v>1123</v>
      </c>
      <c r="H31" s="76">
        <f>SUM(H25:H30)</f>
        <v>818640</v>
      </c>
      <c r="I31" s="76">
        <f t="shared" si="3"/>
        <v>1604736</v>
      </c>
      <c r="J31" s="118">
        <f>H31+I31</f>
        <v>2423376</v>
      </c>
    </row>
    <row r="32" spans="1:10" s="74" customFormat="1">
      <c r="B32" s="75">
        <f>B25*6/45+B26*13/45+B27*21/45+B28*29/45+B29*37/45+B30*45/45</f>
        <v>0</v>
      </c>
      <c r="C32" s="75">
        <f t="shared" ref="C32:G32" si="4">C25*6/45+C26*13/45+C27*21/45+C28*29/45+C29*37/45+C30*45/45</f>
        <v>0</v>
      </c>
      <c r="D32" s="75">
        <f t="shared" si="4"/>
        <v>0</v>
      </c>
      <c r="E32" s="75">
        <f t="shared" si="4"/>
        <v>379</v>
      </c>
      <c r="F32" s="75">
        <f t="shared" si="4"/>
        <v>742.93333333333328</v>
      </c>
      <c r="G32" s="75">
        <f t="shared" si="4"/>
        <v>1121.9333333333334</v>
      </c>
      <c r="H32" s="75"/>
      <c r="I32" s="75"/>
    </row>
    <row r="33" spans="1:11">
      <c r="A33" s="32" t="s">
        <v>29</v>
      </c>
      <c r="B33" s="12" t="s">
        <v>227</v>
      </c>
      <c r="C33" s="12" t="s">
        <v>31</v>
      </c>
      <c r="D33" s="33" t="s">
        <v>228</v>
      </c>
      <c r="E33" s="31" t="s">
        <v>229</v>
      </c>
      <c r="F33" s="31"/>
      <c r="G33" s="31"/>
      <c r="H33" s="31"/>
      <c r="I33" s="31"/>
    </row>
    <row r="34" spans="1:11">
      <c r="A34" s="32" t="s">
        <v>32</v>
      </c>
      <c r="B34" s="34">
        <f>(+H31*7/12)+(H39*5/12)</f>
        <v>803340</v>
      </c>
      <c r="C34" s="35">
        <f>+(B34/45)/48</f>
        <v>371.91666666666669</v>
      </c>
      <c r="D34" s="35">
        <f>B34*1.8*0</f>
        <v>0</v>
      </c>
      <c r="E34" s="268" t="s">
        <v>218</v>
      </c>
      <c r="F34" s="269"/>
      <c r="G34" s="270"/>
      <c r="H34" s="268" t="s">
        <v>29</v>
      </c>
      <c r="I34" s="270"/>
    </row>
    <row r="35" spans="1:11">
      <c r="A35" s="32" t="s">
        <v>33</v>
      </c>
      <c r="B35" s="34">
        <f>(+I31*7/12)+(+I39*5/12)</f>
        <v>1594896</v>
      </c>
      <c r="C35" s="36">
        <f>+(B35/45)/48</f>
        <v>738.37777777777774</v>
      </c>
      <c r="D35" s="36">
        <f>B35*1*0</f>
        <v>0</v>
      </c>
      <c r="E35" s="33"/>
      <c r="F35" s="33" t="s">
        <v>33</v>
      </c>
      <c r="G35" s="33" t="s">
        <v>219</v>
      </c>
      <c r="H35" s="33" t="s">
        <v>230</v>
      </c>
      <c r="I35" s="33" t="s">
        <v>231</v>
      </c>
    </row>
    <row r="36" spans="1:11" ht="13.5" thickBot="1">
      <c r="A36" s="32" t="s">
        <v>34</v>
      </c>
      <c r="B36" s="7">
        <f>SUM(B34:B35)</f>
        <v>2398236</v>
      </c>
      <c r="C36" s="8">
        <f>SUM(C34:C35)</f>
        <v>1110.2944444444445</v>
      </c>
      <c r="D36" s="8">
        <f>SUM(D34:D35)</f>
        <v>0</v>
      </c>
      <c r="E36" s="110"/>
      <c r="F36" s="111"/>
      <c r="G36" s="165">
        <f t="shared" ref="G36:G38" si="5">+E36+F36</f>
        <v>0</v>
      </c>
      <c r="H36" s="3">
        <f>+E36*B9*$B$13</f>
        <v>0</v>
      </c>
      <c r="I36" s="3">
        <f>+F36*B9*$B$13</f>
        <v>0</v>
      </c>
    </row>
    <row r="37" spans="1:11">
      <c r="E37" s="110"/>
      <c r="F37" s="111"/>
      <c r="G37" s="165">
        <f t="shared" si="5"/>
        <v>0</v>
      </c>
      <c r="H37" s="3">
        <f>+E37*B11*$B$13</f>
        <v>0</v>
      </c>
      <c r="I37" s="3">
        <f>+F37*B11*$B$13</f>
        <v>0</v>
      </c>
    </row>
    <row r="38" spans="1:11">
      <c r="A38" s="32" t="s">
        <v>232</v>
      </c>
      <c r="B38" s="12"/>
      <c r="E38" s="110">
        <f>362</f>
        <v>362</v>
      </c>
      <c r="F38" s="111">
        <f>732</f>
        <v>732</v>
      </c>
      <c r="G38" s="165">
        <f t="shared" si="5"/>
        <v>1094</v>
      </c>
      <c r="H38" s="3">
        <f>+E38*B12*$B$13</f>
        <v>781920</v>
      </c>
      <c r="I38" s="3">
        <f>+F38*B12*$B$13</f>
        <v>1581120</v>
      </c>
    </row>
    <row r="39" spans="1:11">
      <c r="A39" s="32" t="s">
        <v>233</v>
      </c>
      <c r="B39" s="36">
        <f>+(B15*C34*B14)/(C34*B14+C35)</f>
        <v>117298445.78395022</v>
      </c>
      <c r="E39" s="31">
        <f>SUM(E36:E38)</f>
        <v>362</v>
      </c>
      <c r="F39" s="31">
        <f>SUM(F36:F38)</f>
        <v>732</v>
      </c>
      <c r="G39" s="31">
        <f>SUM(G36:G38)</f>
        <v>1094</v>
      </c>
      <c r="H39" s="76">
        <f>SUM(H36:H38)</f>
        <v>781920</v>
      </c>
      <c r="I39" s="76">
        <f>SUM(I36:I38)</f>
        <v>1581120</v>
      </c>
      <c r="J39" s="118">
        <f>H39+I39</f>
        <v>2363040</v>
      </c>
    </row>
    <row r="40" spans="1:11" ht="13.5" thickBot="1">
      <c r="A40" s="32" t="s">
        <v>234</v>
      </c>
      <c r="B40" s="37">
        <f>+(B15*C35)/(C34*B14+C35)</f>
        <v>129375705.03359519</v>
      </c>
      <c r="E40" s="75">
        <f>E36*21/45+E37*37/45+E38*45/45</f>
        <v>362</v>
      </c>
      <c r="F40" s="75">
        <f t="shared" ref="F40:G40" si="6">F36*21/45+F37*37/45+F38*45/45</f>
        <v>732</v>
      </c>
      <c r="G40" s="75">
        <f t="shared" si="6"/>
        <v>1094</v>
      </c>
    </row>
    <row r="41" spans="1:11">
      <c r="A41" s="6"/>
      <c r="J41" s="118">
        <f>J31-J39</f>
        <v>60336</v>
      </c>
      <c r="K41" s="241">
        <f>J41/45/48</f>
        <v>27.933333333333334</v>
      </c>
    </row>
    <row r="42" spans="1:11">
      <c r="A42" s="32" t="s">
        <v>36</v>
      </c>
      <c r="B42" s="12"/>
      <c r="F42" s="86" t="s">
        <v>235</v>
      </c>
    </row>
    <row r="43" spans="1:11">
      <c r="A43" s="32" t="s">
        <v>37</v>
      </c>
      <c r="B43" s="36">
        <f>+(-B16/C36*C34)</f>
        <v>5956521.9465909144</v>
      </c>
      <c r="F43" s="2" t="s">
        <v>236</v>
      </c>
      <c r="G43" s="133">
        <v>1200</v>
      </c>
      <c r="H43" s="133">
        <v>1200</v>
      </c>
      <c r="I43" s="2" t="s">
        <v>237</v>
      </c>
    </row>
    <row r="44" spans="1:11" ht="13.5" thickBot="1">
      <c r="A44" s="32" t="s">
        <v>38</v>
      </c>
      <c r="B44" s="37">
        <f>+(-B16/C36*C35)</f>
        <v>11825669.114609085</v>
      </c>
      <c r="F44" s="119">
        <f>6/45</f>
        <v>0.13333333333333333</v>
      </c>
      <c r="G44" s="87">
        <f t="shared" ref="G44:G49" si="7">(E25*$G$43*6*F44)+(F25*$G$43*6*F44)</f>
        <v>0</v>
      </c>
      <c r="H44" s="87"/>
      <c r="I44" s="87"/>
    </row>
    <row r="45" spans="1:11">
      <c r="F45" s="239">
        <f>13/45</f>
        <v>0.28888888888888886</v>
      </c>
      <c r="G45" s="87">
        <f t="shared" si="7"/>
        <v>0</v>
      </c>
      <c r="H45" s="87"/>
      <c r="I45" s="87"/>
    </row>
    <row r="46" spans="1:11">
      <c r="A46" s="32" t="s">
        <v>238</v>
      </c>
      <c r="B46" s="12"/>
      <c r="F46" s="238">
        <f>21/45</f>
        <v>0.46666666666666667</v>
      </c>
      <c r="G46" s="87">
        <f t="shared" si="7"/>
        <v>6720</v>
      </c>
      <c r="H46" s="87">
        <f>(E36*$H$43*5*F46)+(F36*$H$43*5*F46)</f>
        <v>0</v>
      </c>
      <c r="I46" s="87"/>
    </row>
    <row r="47" spans="1:11">
      <c r="A47" s="32" t="s">
        <v>239</v>
      </c>
      <c r="B47" s="36">
        <f>+B39-B43</f>
        <v>111341923.83735931</v>
      </c>
      <c r="F47" s="239">
        <f>29/45</f>
        <v>0.64444444444444449</v>
      </c>
      <c r="G47" s="87">
        <f t="shared" si="7"/>
        <v>0</v>
      </c>
      <c r="H47" s="87"/>
      <c r="I47" s="87"/>
    </row>
    <row r="48" spans="1:11" ht="13.5" thickBot="1">
      <c r="A48" s="32" t="s">
        <v>240</v>
      </c>
      <c r="B48" s="37">
        <f>+B40-B44</f>
        <v>117550035.91898611</v>
      </c>
      <c r="F48" s="238">
        <f>37/45</f>
        <v>0.82222222222222219</v>
      </c>
      <c r="G48" s="87">
        <f t="shared" si="7"/>
        <v>0</v>
      </c>
      <c r="H48" s="87">
        <f>(E37*$H$43*5*F48)+(F37*$H$43*5*F48)</f>
        <v>0</v>
      </c>
      <c r="I48" s="87"/>
    </row>
    <row r="49" spans="1:9">
      <c r="F49" s="238">
        <f>45/45</f>
        <v>1</v>
      </c>
      <c r="G49" s="87">
        <f t="shared" si="7"/>
        <v>8071200</v>
      </c>
      <c r="H49" s="87">
        <f>(E38*$H$43*5*F49)+(F38*$H$43*5*F49)</f>
        <v>6564000</v>
      </c>
      <c r="I49" s="87"/>
    </row>
    <row r="50" spans="1:9">
      <c r="A50" s="32" t="s">
        <v>241</v>
      </c>
      <c r="B50" s="12" t="s">
        <v>242</v>
      </c>
      <c r="C50" s="12" t="s">
        <v>243</v>
      </c>
      <c r="G50" s="88">
        <f>SUM(G44:G49)</f>
        <v>8077920</v>
      </c>
      <c r="H50" s="88">
        <f>SUM(H44:H49)</f>
        <v>6564000</v>
      </c>
      <c r="I50" s="77">
        <f>SUM(G50:H50)</f>
        <v>14641920</v>
      </c>
    </row>
    <row r="51" spans="1:9">
      <c r="A51" s="32" t="s">
        <v>59</v>
      </c>
      <c r="B51" s="38">
        <f>+(B47/C34)</f>
        <v>299373.31078832882</v>
      </c>
      <c r="C51" s="36">
        <f>B51/48/45</f>
        <v>138.59875499459667</v>
      </c>
      <c r="D51">
        <f>134.69/126.43</f>
        <v>1.0653325951119195</v>
      </c>
      <c r="I51" s="1"/>
    </row>
    <row r="52" spans="1:9">
      <c r="A52" s="32" t="s">
        <v>60</v>
      </c>
      <c r="B52" s="38">
        <f>+(B48/C35)</f>
        <v>159200.39775948401</v>
      </c>
      <c r="C52" s="36">
        <f>B52/48/45</f>
        <v>73.703887851612961</v>
      </c>
      <c r="D52">
        <f>69.72/65.15</f>
        <v>1.0701458173445892</v>
      </c>
      <c r="F52" s="86" t="s">
        <v>244</v>
      </c>
    </row>
    <row r="53" spans="1:9">
      <c r="F53" t="s">
        <v>245</v>
      </c>
      <c r="G53" s="59" t="s">
        <v>246</v>
      </c>
      <c r="I53" s="118"/>
    </row>
    <row r="54" spans="1:9">
      <c r="A54" s="32" t="s">
        <v>247</v>
      </c>
      <c r="B54" s="12" t="s">
        <v>242</v>
      </c>
      <c r="C54" s="12" t="s">
        <v>243</v>
      </c>
      <c r="F54" t="s">
        <v>248</v>
      </c>
      <c r="G54" s="240">
        <v>-93345</v>
      </c>
    </row>
    <row r="55" spans="1:9">
      <c r="A55" s="32" t="s">
        <v>249</v>
      </c>
      <c r="B55" s="36">
        <f>(B39*$B$17)/C34</f>
        <v>13561.729335540736</v>
      </c>
      <c r="C55" s="36">
        <f>B55/48/45</f>
        <v>6.2785783960836739</v>
      </c>
      <c r="F55" t="s">
        <v>250</v>
      </c>
      <c r="G55" s="240">
        <v>-65592</v>
      </c>
      <c r="H55" s="2"/>
    </row>
    <row r="56" spans="1:9">
      <c r="A56" s="32" t="s">
        <v>251</v>
      </c>
      <c r="B56" s="36">
        <f>(B40*$B$17)/C35</f>
        <v>7534.2940753004086</v>
      </c>
      <c r="C56" s="36">
        <f>B56/48/45</f>
        <v>3.4880991089353746</v>
      </c>
      <c r="F56" t="s">
        <v>252</v>
      </c>
      <c r="G56" s="240">
        <v>-104533</v>
      </c>
    </row>
    <row r="57" spans="1:9">
      <c r="F57" t="s">
        <v>253</v>
      </c>
      <c r="G57" s="240">
        <v>-87200</v>
      </c>
    </row>
    <row r="58" spans="1:9">
      <c r="A58" s="32" t="s">
        <v>254</v>
      </c>
      <c r="B58" s="12" t="s">
        <v>242</v>
      </c>
      <c r="C58" s="12" t="s">
        <v>243</v>
      </c>
      <c r="F58" t="s">
        <v>255</v>
      </c>
      <c r="G58" s="240">
        <v>-147496</v>
      </c>
    </row>
    <row r="59" spans="1:9">
      <c r="A59" s="32" t="s">
        <v>213</v>
      </c>
      <c r="B59" s="36">
        <f>B18</f>
        <v>0</v>
      </c>
      <c r="C59" s="36">
        <f>B59/48/45</f>
        <v>0</v>
      </c>
      <c r="F59" t="s">
        <v>256</v>
      </c>
      <c r="G59" s="240">
        <v>-257350</v>
      </c>
    </row>
    <row r="60" spans="1:9">
      <c r="A60" s="32" t="s">
        <v>214</v>
      </c>
      <c r="B60" s="36">
        <f>B19</f>
        <v>0</v>
      </c>
      <c r="C60" s="36">
        <f>C59</f>
        <v>0</v>
      </c>
      <c r="F60" t="s">
        <v>257</v>
      </c>
      <c r="G60" s="240">
        <v>-93378</v>
      </c>
    </row>
    <row r="61" spans="1:9">
      <c r="F61" t="s">
        <v>258</v>
      </c>
      <c r="G61" s="240">
        <v>-142663</v>
      </c>
    </row>
    <row r="62" spans="1:9">
      <c r="A62" s="32" t="s">
        <v>259</v>
      </c>
      <c r="B62" s="12" t="s">
        <v>260</v>
      </c>
      <c r="C62" s="12" t="s">
        <v>261</v>
      </c>
      <c r="D62" s="12" t="s">
        <v>262</v>
      </c>
      <c r="F62" t="s">
        <v>263</v>
      </c>
      <c r="G62" s="240">
        <v>-49170</v>
      </c>
    </row>
    <row r="63" spans="1:9">
      <c r="A63" s="32" t="s">
        <v>59</v>
      </c>
      <c r="B63" s="38">
        <f>+B51+B55+B59</f>
        <v>312935.04012386955</v>
      </c>
      <c r="C63" s="38">
        <f>Satser!C7</f>
        <v>326500</v>
      </c>
      <c r="D63" s="39">
        <f>1-(B63/C63)</f>
        <v>4.1546584612957016E-2</v>
      </c>
      <c r="F63" t="s">
        <v>264</v>
      </c>
      <c r="G63" s="240">
        <v>-255269</v>
      </c>
    </row>
    <row r="64" spans="1:9">
      <c r="A64" s="32" t="s">
        <v>60</v>
      </c>
      <c r="B64" s="38">
        <f>+B52+B56+B60</f>
        <v>166734.69183478443</v>
      </c>
      <c r="C64" s="38">
        <f>Satser!D7</f>
        <v>173600</v>
      </c>
      <c r="D64" s="39">
        <f>1-(B64/C64)</f>
        <v>3.9546706020826994E-2</v>
      </c>
      <c r="F64" t="s">
        <v>265</v>
      </c>
      <c r="G64" s="240">
        <v>-237447</v>
      </c>
    </row>
    <row r="65" spans="2:7">
      <c r="F65" t="s">
        <v>266</v>
      </c>
      <c r="G65" s="240">
        <v>-252492</v>
      </c>
    </row>
    <row r="66" spans="2:7">
      <c r="F66" t="s">
        <v>267</v>
      </c>
      <c r="G66" s="240">
        <v>-145860</v>
      </c>
    </row>
    <row r="67" spans="2:7">
      <c r="B67" s="77"/>
      <c r="F67" t="s">
        <v>268</v>
      </c>
      <c r="G67" s="240">
        <v>-96624</v>
      </c>
    </row>
    <row r="68" spans="2:7">
      <c r="B68" s="77"/>
      <c r="F68" t="s">
        <v>269</v>
      </c>
      <c r="G68" s="240">
        <v>-68050</v>
      </c>
    </row>
    <row r="69" spans="2:7">
      <c r="F69" t="s">
        <v>270</v>
      </c>
      <c r="G69" s="240">
        <v>-130750</v>
      </c>
    </row>
    <row r="70" spans="2:7">
      <c r="F70" t="s">
        <v>271</v>
      </c>
      <c r="G70" s="240">
        <v>-47153</v>
      </c>
    </row>
    <row r="71" spans="2:7">
      <c r="F71" t="s">
        <v>272</v>
      </c>
      <c r="G71" s="240">
        <v>-254132</v>
      </c>
    </row>
    <row r="72" spans="2:7">
      <c r="F72" t="s">
        <v>273</v>
      </c>
      <c r="G72" s="240">
        <v>-116828</v>
      </c>
    </row>
    <row r="73" spans="2:7">
      <c r="F73" t="s">
        <v>274</v>
      </c>
      <c r="G73" s="240">
        <v>-73694</v>
      </c>
    </row>
    <row r="74" spans="2:7">
      <c r="F74" t="s">
        <v>275</v>
      </c>
      <c r="G74" s="240">
        <v>-137604</v>
      </c>
    </row>
    <row r="75" spans="2:7">
      <c r="F75" t="s">
        <v>276</v>
      </c>
      <c r="G75" s="240">
        <v>-60753</v>
      </c>
    </row>
    <row r="76" spans="2:7">
      <c r="G76" s="87">
        <f>SUM(G54:G75)</f>
        <v>-2917383</v>
      </c>
    </row>
  </sheetData>
  <sheetProtection algorithmName="SHA-512" hashValue="2uIfXEwKEE/grNE6p42AIACXuDij/BkcjRUOWIfLHAJtjmn8Pvy+gEGhfzoE+VxLCS9mbuPtVLr661UVHTKFuQ==" saltValue="/wnc4JRzfbiw17jMlOT82w==" spinCount="100000" sheet="1" objects="1" scenarios="1"/>
  <mergeCells count="5">
    <mergeCell ref="E34:G34"/>
    <mergeCell ref="H34:I34"/>
    <mergeCell ref="H23:I23"/>
    <mergeCell ref="E23:G23"/>
    <mergeCell ref="B23:C23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48B2-95D8-4B04-827D-DDAEB3A207C4}">
  <sheetPr codeName="Ark3" filterMode="1"/>
  <dimension ref="A1:U1101"/>
  <sheetViews>
    <sheetView zoomScale="80" zoomScaleNormal="80" workbookViewId="0"/>
  </sheetViews>
  <sheetFormatPr defaultColWidth="11.42578125" defaultRowHeight="12.75"/>
  <cols>
    <col min="1" max="1" width="4" bestFit="1" customWidth="1"/>
    <col min="3" max="3" width="36.140625" customWidth="1"/>
    <col min="4" max="4" width="10" customWidth="1"/>
    <col min="8" max="8" width="31.85546875" customWidth="1"/>
    <col min="10" max="10" width="15" bestFit="1" customWidth="1"/>
    <col min="13" max="13" width="18.85546875" customWidth="1"/>
    <col min="14" max="15" width="16" hidden="1" customWidth="1"/>
    <col min="16" max="16" width="16.7109375" bestFit="1" customWidth="1"/>
    <col min="17" max="17" width="15.85546875" customWidth="1"/>
    <col min="18" max="18" width="16.85546875" style="73" bestFit="1" customWidth="1"/>
    <col min="19" max="19" width="16" style="73" bestFit="1" customWidth="1"/>
    <col min="20" max="20" width="16.42578125" customWidth="1"/>
    <col min="24" max="24" width="16" bestFit="1" customWidth="1"/>
  </cols>
  <sheetData>
    <row r="1" spans="1:21">
      <c r="J1" s="77"/>
      <c r="P1" t="s">
        <v>277</v>
      </c>
      <c r="Q1" s="212">
        <v>179458324.92999998</v>
      </c>
      <c r="R1" s="128">
        <f>M6-Q1</f>
        <v>64394658.49999997</v>
      </c>
      <c r="S1" s="129"/>
      <c r="T1" s="141"/>
    </row>
    <row r="2" spans="1:21">
      <c r="J2" s="77"/>
      <c r="P2" s="5" t="s">
        <v>278</v>
      </c>
      <c r="Q2" s="128">
        <f>Q1*10%</f>
        <v>17945832.492999997</v>
      </c>
      <c r="R2" s="128"/>
      <c r="S2"/>
    </row>
    <row r="3" spans="1:21">
      <c r="J3" s="77"/>
      <c r="P3" t="s">
        <v>279</v>
      </c>
      <c r="Q3" s="128">
        <f>Q2*14.1%</f>
        <v>2530362.3815129995</v>
      </c>
      <c r="R3" s="128"/>
      <c r="S3" s="141"/>
    </row>
    <row r="4" spans="1:21">
      <c r="P4" t="s">
        <v>280</v>
      </c>
      <c r="Q4" s="128">
        <f>Q2+Q3</f>
        <v>20476194.874512997</v>
      </c>
      <c r="R4" s="128">
        <f>S6-Q4</f>
        <v>0</v>
      </c>
      <c r="S4" s="136"/>
      <c r="U4" s="73"/>
    </row>
    <row r="6" spans="1:21">
      <c r="M6" s="73">
        <f>SUBTOTAL(9,M8:M887)</f>
        <v>243852983.42999995</v>
      </c>
      <c r="N6" s="73">
        <f t="shared" ref="N6:T6" si="0">SUBTOTAL(9,N8:N887)</f>
        <v>0</v>
      </c>
      <c r="O6" s="73">
        <f t="shared" si="0"/>
        <v>0</v>
      </c>
      <c r="P6" s="73">
        <f t="shared" si="0"/>
        <v>199462000</v>
      </c>
      <c r="Q6" s="73">
        <f t="shared" si="0"/>
        <v>25287661.749999989</v>
      </c>
      <c r="R6" s="73">
        <f t="shared" si="0"/>
        <v>-40688998.928900011</v>
      </c>
      <c r="S6" s="73">
        <f t="shared" si="0"/>
        <v>20476194.87451297</v>
      </c>
      <c r="T6" s="73">
        <f t="shared" si="0"/>
        <v>0</v>
      </c>
    </row>
    <row r="7" spans="1:21" ht="15">
      <c r="A7" t="s">
        <v>281</v>
      </c>
      <c r="B7" s="121" t="s">
        <v>282</v>
      </c>
      <c r="C7" s="122" t="s">
        <v>283</v>
      </c>
      <c r="D7" s="122" t="s">
        <v>284</v>
      </c>
      <c r="E7" s="121" t="s">
        <v>285</v>
      </c>
      <c r="F7" s="122" t="s">
        <v>286</v>
      </c>
      <c r="G7" s="121" t="s">
        <v>287</v>
      </c>
      <c r="H7" s="122" t="s">
        <v>288</v>
      </c>
      <c r="I7" s="121" t="s">
        <v>289</v>
      </c>
      <c r="J7" s="121" t="s">
        <v>290</v>
      </c>
      <c r="K7" s="121" t="s">
        <v>291</v>
      </c>
      <c r="L7" s="121" t="s">
        <v>292</v>
      </c>
      <c r="M7" s="121" t="s">
        <v>293</v>
      </c>
      <c r="N7" s="121"/>
      <c r="O7" s="121"/>
      <c r="P7" s="121" t="s">
        <v>294</v>
      </c>
      <c r="Q7" s="116" t="s">
        <v>262</v>
      </c>
      <c r="R7" s="125" t="s">
        <v>295</v>
      </c>
      <c r="S7" s="155">
        <v>0.1</v>
      </c>
    </row>
    <row r="8" spans="1:21" ht="15" hidden="1">
      <c r="A8" s="161" t="s">
        <v>296</v>
      </c>
      <c r="B8" s="234" t="s">
        <v>297</v>
      </c>
      <c r="C8" s="161" t="s">
        <v>298</v>
      </c>
      <c r="D8" s="162" t="s">
        <v>299</v>
      </c>
      <c r="E8" s="162" t="s">
        <v>300</v>
      </c>
      <c r="F8" s="162" t="s">
        <v>301</v>
      </c>
      <c r="G8" s="161">
        <v>105098</v>
      </c>
      <c r="H8" s="161" t="s">
        <v>302</v>
      </c>
      <c r="I8" s="161">
        <v>201</v>
      </c>
      <c r="J8" s="161" t="s">
        <v>303</v>
      </c>
      <c r="K8" s="161" t="s">
        <v>304</v>
      </c>
      <c r="L8" s="162" t="s">
        <v>305</v>
      </c>
      <c r="M8" s="163">
        <v>-188577.53</v>
      </c>
      <c r="N8" s="163"/>
      <c r="O8" s="163"/>
      <c r="P8" s="163">
        <v>0</v>
      </c>
      <c r="Q8" s="124">
        <f t="shared" ref="Q8:Q71" si="1">M8-P8</f>
        <v>-188577.53</v>
      </c>
      <c r="R8" s="124"/>
      <c r="S8" s="236">
        <f>M8*$S$7*1.141*0</f>
        <v>0</v>
      </c>
    </row>
    <row r="9" spans="1:21" ht="15" hidden="1">
      <c r="A9" s="161" t="s">
        <v>296</v>
      </c>
      <c r="B9" s="234" t="s">
        <v>297</v>
      </c>
      <c r="C9" s="161" t="s">
        <v>298</v>
      </c>
      <c r="D9" s="162" t="s">
        <v>299</v>
      </c>
      <c r="E9" s="162" t="s">
        <v>300</v>
      </c>
      <c r="F9" s="162" t="s">
        <v>301</v>
      </c>
      <c r="G9" s="161">
        <v>105099</v>
      </c>
      <c r="H9" s="161" t="s">
        <v>306</v>
      </c>
      <c r="I9" s="161">
        <v>201</v>
      </c>
      <c r="J9" s="161" t="s">
        <v>307</v>
      </c>
      <c r="K9" s="161" t="s">
        <v>304</v>
      </c>
      <c r="L9" s="162" t="s">
        <v>305</v>
      </c>
      <c r="M9" s="163">
        <v>188015.9</v>
      </c>
      <c r="N9" s="163"/>
      <c r="O9" s="163"/>
      <c r="P9" s="163">
        <v>0</v>
      </c>
      <c r="Q9" s="124">
        <f t="shared" si="1"/>
        <v>188015.9</v>
      </c>
      <c r="R9" s="124"/>
      <c r="S9" s="236">
        <f>M9*$S$7*1.141*0</f>
        <v>0</v>
      </c>
    </row>
    <row r="10" spans="1:21" ht="15">
      <c r="A10" s="161" t="s">
        <v>296</v>
      </c>
      <c r="B10" s="161" t="s">
        <v>297</v>
      </c>
      <c r="C10" s="161" t="s">
        <v>298</v>
      </c>
      <c r="D10" s="162" t="s">
        <v>299</v>
      </c>
      <c r="E10" s="162" t="s">
        <v>300</v>
      </c>
      <c r="F10" s="162" t="s">
        <v>301</v>
      </c>
      <c r="G10" s="164">
        <v>109010</v>
      </c>
      <c r="H10" s="161" t="s">
        <v>308</v>
      </c>
      <c r="I10" s="161">
        <v>201</v>
      </c>
      <c r="J10" s="161" t="s">
        <v>304</v>
      </c>
      <c r="K10" s="161" t="s">
        <v>304</v>
      </c>
      <c r="L10" s="162" t="s">
        <v>305</v>
      </c>
      <c r="M10" s="163">
        <v>185326.42</v>
      </c>
      <c r="N10" s="163"/>
      <c r="O10" s="163"/>
      <c r="P10" s="163">
        <v>0</v>
      </c>
      <c r="Q10" s="124">
        <f t="shared" si="1"/>
        <v>185326.42</v>
      </c>
      <c r="R10" s="237">
        <f>M10*-1.141*0</f>
        <v>0</v>
      </c>
    </row>
    <row r="11" spans="1:21" ht="15">
      <c r="A11" s="161" t="s">
        <v>296</v>
      </c>
      <c r="B11" s="161" t="s">
        <v>297</v>
      </c>
      <c r="C11" s="161" t="s">
        <v>298</v>
      </c>
      <c r="D11" s="162" t="s">
        <v>299</v>
      </c>
      <c r="E11" s="162" t="s">
        <v>300</v>
      </c>
      <c r="F11" s="162" t="s">
        <v>301</v>
      </c>
      <c r="G11" s="164">
        <v>109901</v>
      </c>
      <c r="H11" s="161" t="s">
        <v>309</v>
      </c>
      <c r="I11" s="161">
        <v>201</v>
      </c>
      <c r="J11" s="161" t="s">
        <v>307</v>
      </c>
      <c r="K11" s="161" t="s">
        <v>304</v>
      </c>
      <c r="L11" s="162" t="s">
        <v>305</v>
      </c>
      <c r="M11" s="163">
        <v>26500.29</v>
      </c>
      <c r="N11" s="163"/>
      <c r="O11" s="163"/>
      <c r="P11" s="163">
        <v>0</v>
      </c>
      <c r="Q11" s="124">
        <f t="shared" si="1"/>
        <v>26500.29</v>
      </c>
      <c r="R11" s="154"/>
    </row>
    <row r="12" spans="1:21" ht="15" hidden="1">
      <c r="A12" s="161" t="s">
        <v>296</v>
      </c>
      <c r="B12" s="234" t="s">
        <v>297</v>
      </c>
      <c r="C12" s="161" t="s">
        <v>298</v>
      </c>
      <c r="D12" s="162" t="s">
        <v>299</v>
      </c>
      <c r="E12" s="162" t="s">
        <v>300</v>
      </c>
      <c r="F12" s="162" t="s">
        <v>301</v>
      </c>
      <c r="G12" s="161">
        <v>105098</v>
      </c>
      <c r="H12" s="161" t="s">
        <v>302</v>
      </c>
      <c r="I12" s="161">
        <v>221</v>
      </c>
      <c r="J12" s="161" t="s">
        <v>303</v>
      </c>
      <c r="K12" s="161" t="s">
        <v>304</v>
      </c>
      <c r="L12" s="162" t="s">
        <v>305</v>
      </c>
      <c r="M12" s="163">
        <v>-425.97</v>
      </c>
      <c r="N12" s="163"/>
      <c r="O12" s="163"/>
      <c r="P12" s="163">
        <v>0</v>
      </c>
      <c r="Q12" s="124">
        <f t="shared" si="1"/>
        <v>-425.97</v>
      </c>
      <c r="R12" s="154"/>
      <c r="S12" s="236">
        <f>M12*$S$7*1.141*0</f>
        <v>0</v>
      </c>
    </row>
    <row r="13" spans="1:21" ht="15" hidden="1">
      <c r="A13" s="161" t="s">
        <v>296</v>
      </c>
      <c r="B13" s="234" t="s">
        <v>297</v>
      </c>
      <c r="C13" s="161" t="s">
        <v>298</v>
      </c>
      <c r="D13" s="162" t="s">
        <v>299</v>
      </c>
      <c r="E13" s="162" t="s">
        <v>300</v>
      </c>
      <c r="F13" s="162" t="s">
        <v>301</v>
      </c>
      <c r="G13" s="161">
        <v>105099</v>
      </c>
      <c r="H13" s="161" t="s">
        <v>306</v>
      </c>
      <c r="I13" s="161">
        <v>221</v>
      </c>
      <c r="J13" s="161" t="s">
        <v>307</v>
      </c>
      <c r="K13" s="161" t="s">
        <v>304</v>
      </c>
      <c r="L13" s="162" t="s">
        <v>305</v>
      </c>
      <c r="M13" s="163">
        <v>424.7</v>
      </c>
      <c r="N13" s="163"/>
      <c r="O13" s="163"/>
      <c r="P13" s="163">
        <v>0</v>
      </c>
      <c r="Q13" s="124">
        <f t="shared" si="1"/>
        <v>424.7</v>
      </c>
      <c r="R13" s="154"/>
      <c r="S13" s="236">
        <f>M13*$S$7*1.141*0</f>
        <v>0</v>
      </c>
    </row>
    <row r="14" spans="1:21" ht="15">
      <c r="A14" s="161" t="s">
        <v>296</v>
      </c>
      <c r="B14" s="161" t="s">
        <v>297</v>
      </c>
      <c r="C14" s="161" t="s">
        <v>298</v>
      </c>
      <c r="D14" s="162" t="s">
        <v>299</v>
      </c>
      <c r="E14" s="162" t="s">
        <v>300</v>
      </c>
      <c r="F14" s="162" t="s">
        <v>301</v>
      </c>
      <c r="G14" s="164">
        <v>109010</v>
      </c>
      <c r="H14" s="161" t="s">
        <v>308</v>
      </c>
      <c r="I14" s="161">
        <v>221</v>
      </c>
      <c r="J14" s="161" t="s">
        <v>304</v>
      </c>
      <c r="K14" s="161" t="s">
        <v>304</v>
      </c>
      <c r="L14" s="162" t="s">
        <v>305</v>
      </c>
      <c r="M14" s="163">
        <v>418.62</v>
      </c>
      <c r="N14" s="163"/>
      <c r="O14" s="163"/>
      <c r="P14" s="163">
        <v>0</v>
      </c>
      <c r="Q14" s="124">
        <f t="shared" si="1"/>
        <v>418.62</v>
      </c>
      <c r="R14" s="237">
        <f>M14*-1.141*0</f>
        <v>0</v>
      </c>
    </row>
    <row r="15" spans="1:21" ht="15">
      <c r="A15" s="161" t="s">
        <v>296</v>
      </c>
      <c r="B15" s="161" t="s">
        <v>297</v>
      </c>
      <c r="C15" s="161" t="s">
        <v>298</v>
      </c>
      <c r="D15" s="162" t="s">
        <v>299</v>
      </c>
      <c r="E15" s="162" t="s">
        <v>300</v>
      </c>
      <c r="F15" s="162" t="s">
        <v>301</v>
      </c>
      <c r="G15" s="164">
        <v>109901</v>
      </c>
      <c r="H15" s="161" t="s">
        <v>309</v>
      </c>
      <c r="I15" s="161">
        <v>221</v>
      </c>
      <c r="J15" s="161" t="s">
        <v>307</v>
      </c>
      <c r="K15" s="161" t="s">
        <v>304</v>
      </c>
      <c r="L15" s="162" t="s">
        <v>305</v>
      </c>
      <c r="M15" s="163">
        <v>59.86</v>
      </c>
      <c r="N15" s="163"/>
      <c r="O15" s="163"/>
      <c r="P15" s="163">
        <v>0</v>
      </c>
      <c r="Q15" s="124">
        <f t="shared" si="1"/>
        <v>59.86</v>
      </c>
      <c r="R15" s="154"/>
    </row>
    <row r="16" spans="1:21" ht="15" hidden="1">
      <c r="A16" s="161" t="s">
        <v>296</v>
      </c>
      <c r="B16" s="234" t="s">
        <v>310</v>
      </c>
      <c r="C16" s="161" t="s">
        <v>311</v>
      </c>
      <c r="D16" s="162" t="s">
        <v>299</v>
      </c>
      <c r="E16" s="162" t="s">
        <v>300</v>
      </c>
      <c r="F16" s="162" t="s">
        <v>301</v>
      </c>
      <c r="G16" s="161">
        <v>101039</v>
      </c>
      <c r="H16" s="161" t="s">
        <v>312</v>
      </c>
      <c r="I16" s="161">
        <v>201</v>
      </c>
      <c r="J16" s="161" t="s">
        <v>304</v>
      </c>
      <c r="K16" s="161" t="s">
        <v>304</v>
      </c>
      <c r="L16" s="162" t="s">
        <v>305</v>
      </c>
      <c r="M16" s="163">
        <v>161907.53</v>
      </c>
      <c r="N16" s="163"/>
      <c r="O16" s="163"/>
      <c r="P16" s="163">
        <v>0</v>
      </c>
      <c r="Q16" s="124">
        <f t="shared" si="1"/>
        <v>161907.53</v>
      </c>
      <c r="R16" s="154"/>
      <c r="S16" s="236">
        <f>M16*$S$7*1.141*0</f>
        <v>0</v>
      </c>
    </row>
    <row r="17" spans="1:19" ht="15" hidden="1">
      <c r="A17" s="161" t="s">
        <v>296</v>
      </c>
      <c r="B17" s="234" t="s">
        <v>310</v>
      </c>
      <c r="C17" s="161" t="s">
        <v>311</v>
      </c>
      <c r="D17" s="162" t="s">
        <v>299</v>
      </c>
      <c r="E17" s="162" t="s">
        <v>300</v>
      </c>
      <c r="F17" s="162" t="s">
        <v>301</v>
      </c>
      <c r="G17" s="164">
        <v>109901</v>
      </c>
      <c r="H17" s="161" t="s">
        <v>309</v>
      </c>
      <c r="I17" s="161">
        <v>201</v>
      </c>
      <c r="J17" s="161" t="s">
        <v>304</v>
      </c>
      <c r="K17" s="161" t="s">
        <v>304</v>
      </c>
      <c r="L17" s="162" t="s">
        <v>305</v>
      </c>
      <c r="M17" s="163">
        <v>22828.95</v>
      </c>
      <c r="N17" s="163"/>
      <c r="O17" s="163"/>
      <c r="P17" s="163">
        <v>0</v>
      </c>
      <c r="Q17" s="124">
        <f t="shared" si="1"/>
        <v>22828.95</v>
      </c>
      <c r="R17" s="154"/>
    </row>
    <row r="18" spans="1:19" ht="15" hidden="1">
      <c r="A18" s="161" t="s">
        <v>296</v>
      </c>
      <c r="B18" s="234" t="s">
        <v>313</v>
      </c>
      <c r="C18" s="161" t="s">
        <v>314</v>
      </c>
      <c r="D18" s="162" t="s">
        <v>315</v>
      </c>
      <c r="E18" s="162" t="s">
        <v>316</v>
      </c>
      <c r="F18" s="162" t="s">
        <v>301</v>
      </c>
      <c r="G18" s="161">
        <v>102055</v>
      </c>
      <c r="H18" s="161" t="s">
        <v>317</v>
      </c>
      <c r="I18" s="161">
        <v>201</v>
      </c>
      <c r="J18" s="161" t="s">
        <v>304</v>
      </c>
      <c r="K18" s="161" t="s">
        <v>304</v>
      </c>
      <c r="L18" s="162" t="s">
        <v>305</v>
      </c>
      <c r="M18" s="163">
        <v>-5057</v>
      </c>
      <c r="N18" s="163"/>
      <c r="O18" s="163"/>
      <c r="P18" s="163">
        <v>0</v>
      </c>
      <c r="Q18" s="124">
        <f t="shared" si="1"/>
        <v>-5057</v>
      </c>
      <c r="R18" s="154"/>
      <c r="S18" s="236">
        <f>M18*$S$7*1.141*0</f>
        <v>0</v>
      </c>
    </row>
    <row r="19" spans="1:19" ht="15">
      <c r="A19" s="161" t="s">
        <v>296</v>
      </c>
      <c r="B19" s="161" t="s">
        <v>313</v>
      </c>
      <c r="C19" s="161" t="s">
        <v>314</v>
      </c>
      <c r="D19" s="162" t="s">
        <v>315</v>
      </c>
      <c r="E19" s="162" t="s">
        <v>316</v>
      </c>
      <c r="F19" s="162" t="s">
        <v>301</v>
      </c>
      <c r="G19" s="164">
        <v>109055</v>
      </c>
      <c r="H19" s="161" t="s">
        <v>318</v>
      </c>
      <c r="I19" s="161">
        <v>201</v>
      </c>
      <c r="J19" s="161" t="s">
        <v>304</v>
      </c>
      <c r="K19" s="161" t="s">
        <v>304</v>
      </c>
      <c r="L19" s="162" t="s">
        <v>305</v>
      </c>
      <c r="M19" s="163">
        <v>4772</v>
      </c>
      <c r="N19" s="163"/>
      <c r="O19" s="163"/>
      <c r="P19" s="163">
        <v>0</v>
      </c>
      <c r="Q19" s="124">
        <f t="shared" si="1"/>
        <v>4772</v>
      </c>
      <c r="R19" s="154"/>
    </row>
    <row r="20" spans="1:19" ht="15">
      <c r="A20" s="161" t="s">
        <v>296</v>
      </c>
      <c r="B20" s="161" t="s">
        <v>313</v>
      </c>
      <c r="C20" s="161" t="s">
        <v>314</v>
      </c>
      <c r="D20" s="162" t="s">
        <v>315</v>
      </c>
      <c r="E20" s="162" t="s">
        <v>316</v>
      </c>
      <c r="F20" s="162" t="s">
        <v>301</v>
      </c>
      <c r="G20" s="164">
        <v>109955</v>
      </c>
      <c r="H20" s="161" t="s">
        <v>319</v>
      </c>
      <c r="I20" s="161">
        <v>201</v>
      </c>
      <c r="J20" s="161" t="s">
        <v>304</v>
      </c>
      <c r="K20" s="161" t="s">
        <v>304</v>
      </c>
      <c r="L20" s="162" t="s">
        <v>305</v>
      </c>
      <c r="M20" s="163">
        <v>-40</v>
      </c>
      <c r="N20" s="163"/>
      <c r="O20" s="163"/>
      <c r="P20" s="163">
        <v>0</v>
      </c>
      <c r="Q20" s="124">
        <f t="shared" si="1"/>
        <v>-40</v>
      </c>
      <c r="R20" s="154"/>
    </row>
    <row r="21" spans="1:19" ht="15">
      <c r="A21" s="161" t="s">
        <v>296</v>
      </c>
      <c r="B21" s="161" t="s">
        <v>320</v>
      </c>
      <c r="C21" s="161" t="s">
        <v>321</v>
      </c>
      <c r="D21" s="162" t="s">
        <v>322</v>
      </c>
      <c r="E21" s="162" t="s">
        <v>323</v>
      </c>
      <c r="F21" s="162" t="s">
        <v>301</v>
      </c>
      <c r="G21" s="164">
        <v>109001</v>
      </c>
      <c r="H21" s="161" t="s">
        <v>324</v>
      </c>
      <c r="I21" s="161">
        <v>201</v>
      </c>
      <c r="J21" s="161" t="s">
        <v>304</v>
      </c>
      <c r="K21" s="161" t="s">
        <v>304</v>
      </c>
      <c r="L21" s="162" t="s">
        <v>305</v>
      </c>
      <c r="M21" s="163">
        <v>18493264.280000001</v>
      </c>
      <c r="N21" s="163"/>
      <c r="O21" s="163"/>
      <c r="P21" s="163">
        <v>0</v>
      </c>
      <c r="Q21" s="124">
        <f t="shared" si="1"/>
        <v>18493264.280000001</v>
      </c>
      <c r="R21" s="124">
        <f>M21*-1.141</f>
        <v>-21100814.543480001</v>
      </c>
    </row>
    <row r="22" spans="1:19" ht="15">
      <c r="A22" s="161" t="s">
        <v>296</v>
      </c>
      <c r="B22" s="161" t="s">
        <v>320</v>
      </c>
      <c r="C22" s="161" t="s">
        <v>321</v>
      </c>
      <c r="D22" s="162" t="s">
        <v>322</v>
      </c>
      <c r="E22" s="162" t="s">
        <v>323</v>
      </c>
      <c r="F22" s="162" t="s">
        <v>301</v>
      </c>
      <c r="G22" s="164">
        <v>109901</v>
      </c>
      <c r="H22" s="161" t="s">
        <v>309</v>
      </c>
      <c r="I22" s="161">
        <v>201</v>
      </c>
      <c r="J22" s="161" t="s">
        <v>304</v>
      </c>
      <c r="K22" s="161" t="s">
        <v>304</v>
      </c>
      <c r="L22" s="162" t="s">
        <v>305</v>
      </c>
      <c r="M22" s="163">
        <v>2608123.37</v>
      </c>
      <c r="N22" s="163"/>
      <c r="O22" s="163"/>
      <c r="P22" s="163">
        <v>0</v>
      </c>
      <c r="Q22" s="124">
        <f t="shared" si="1"/>
        <v>2608123.37</v>
      </c>
      <c r="R22" s="154"/>
    </row>
    <row r="23" spans="1:19" ht="15">
      <c r="A23" s="161" t="s">
        <v>296</v>
      </c>
      <c r="B23" s="161" t="s">
        <v>320</v>
      </c>
      <c r="C23" s="161" t="s">
        <v>321</v>
      </c>
      <c r="D23" s="162" t="s">
        <v>322</v>
      </c>
      <c r="E23" s="162" t="s">
        <v>323</v>
      </c>
      <c r="F23" s="162" t="s">
        <v>301</v>
      </c>
      <c r="G23" s="164">
        <v>109001</v>
      </c>
      <c r="H23" s="161" t="s">
        <v>324</v>
      </c>
      <c r="I23" s="161">
        <v>221</v>
      </c>
      <c r="J23" s="161" t="s">
        <v>304</v>
      </c>
      <c r="K23" s="161" t="s">
        <v>304</v>
      </c>
      <c r="L23" s="162" t="s">
        <v>305</v>
      </c>
      <c r="M23" s="163">
        <v>761794.36</v>
      </c>
      <c r="N23" s="163"/>
      <c r="O23" s="163"/>
      <c r="P23" s="163">
        <v>0</v>
      </c>
      <c r="Q23" s="124">
        <f t="shared" si="1"/>
        <v>761794.36</v>
      </c>
      <c r="R23" s="124">
        <f>M23*-1.141</f>
        <v>-869207.36476000003</v>
      </c>
    </row>
    <row r="24" spans="1:19" ht="15">
      <c r="A24" s="161" t="s">
        <v>296</v>
      </c>
      <c r="B24" s="161" t="s">
        <v>320</v>
      </c>
      <c r="C24" s="161" t="s">
        <v>321</v>
      </c>
      <c r="D24" s="162" t="s">
        <v>322</v>
      </c>
      <c r="E24" s="162" t="s">
        <v>323</v>
      </c>
      <c r="F24" s="162" t="s">
        <v>301</v>
      </c>
      <c r="G24" s="164">
        <v>109901</v>
      </c>
      <c r="H24" s="161" t="s">
        <v>309</v>
      </c>
      <c r="I24" s="161">
        <v>221</v>
      </c>
      <c r="J24" s="161" t="s">
        <v>304</v>
      </c>
      <c r="K24" s="161" t="s">
        <v>304</v>
      </c>
      <c r="L24" s="162" t="s">
        <v>305</v>
      </c>
      <c r="M24" s="163">
        <v>107436.64</v>
      </c>
      <c r="N24" s="163"/>
      <c r="O24" s="163"/>
      <c r="P24" s="163">
        <v>0</v>
      </c>
      <c r="Q24" s="124">
        <f t="shared" si="1"/>
        <v>107436.64</v>
      </c>
      <c r="R24" s="154"/>
    </row>
    <row r="25" spans="1:19" ht="15">
      <c r="A25" s="161" t="s">
        <v>296</v>
      </c>
      <c r="B25" s="161" t="s">
        <v>325</v>
      </c>
      <c r="C25" s="161" t="s">
        <v>326</v>
      </c>
      <c r="D25" s="162" t="s">
        <v>327</v>
      </c>
      <c r="E25" s="162" t="s">
        <v>328</v>
      </c>
      <c r="F25" s="162" t="s">
        <v>301</v>
      </c>
      <c r="G25" s="161">
        <v>101001</v>
      </c>
      <c r="H25" s="161" t="s">
        <v>329</v>
      </c>
      <c r="I25" s="161">
        <v>201</v>
      </c>
      <c r="J25" s="161" t="s">
        <v>304</v>
      </c>
      <c r="K25" s="161" t="s">
        <v>304</v>
      </c>
      <c r="L25" s="162" t="s">
        <v>305</v>
      </c>
      <c r="M25" s="163">
        <v>404151.51</v>
      </c>
      <c r="N25" s="163"/>
      <c r="O25" s="163"/>
      <c r="P25" s="163">
        <v>412000</v>
      </c>
      <c r="Q25" s="124">
        <f t="shared" si="1"/>
        <v>-7848.4899999999907</v>
      </c>
      <c r="R25" s="154"/>
      <c r="S25" s="73">
        <f t="shared" ref="S25:S28" si="2">M25*$S$7*1.141</f>
        <v>46113.687291000009</v>
      </c>
    </row>
    <row r="26" spans="1:19" ht="15">
      <c r="A26" s="161" t="s">
        <v>296</v>
      </c>
      <c r="B26" s="161" t="s">
        <v>325</v>
      </c>
      <c r="C26" s="161" t="s">
        <v>326</v>
      </c>
      <c r="D26" s="162" t="s">
        <v>327</v>
      </c>
      <c r="E26" s="162" t="s">
        <v>328</v>
      </c>
      <c r="F26" s="162" t="s">
        <v>301</v>
      </c>
      <c r="G26" s="161">
        <v>101001</v>
      </c>
      <c r="H26" s="161" t="s">
        <v>329</v>
      </c>
      <c r="I26" s="161">
        <v>201</v>
      </c>
      <c r="J26" s="161" t="s">
        <v>330</v>
      </c>
      <c r="K26" s="161" t="s">
        <v>304</v>
      </c>
      <c r="L26" s="162" t="s">
        <v>305</v>
      </c>
      <c r="M26" s="163">
        <v>0</v>
      </c>
      <c r="N26" s="163"/>
      <c r="O26" s="163"/>
      <c r="P26" s="163">
        <v>0</v>
      </c>
      <c r="Q26" s="124">
        <f t="shared" si="1"/>
        <v>0</v>
      </c>
      <c r="R26" s="154"/>
      <c r="S26" s="73">
        <f t="shared" si="2"/>
        <v>0</v>
      </c>
    </row>
    <row r="27" spans="1:19" ht="15">
      <c r="A27" s="161" t="s">
        <v>296</v>
      </c>
      <c r="B27" s="161" t="s">
        <v>325</v>
      </c>
      <c r="C27" s="161" t="s">
        <v>326</v>
      </c>
      <c r="D27" s="162" t="s">
        <v>327</v>
      </c>
      <c r="E27" s="162" t="s">
        <v>328</v>
      </c>
      <c r="F27" s="162" t="s">
        <v>301</v>
      </c>
      <c r="G27" s="161">
        <v>105098</v>
      </c>
      <c r="H27" s="161" t="s">
        <v>302</v>
      </c>
      <c r="I27" s="161">
        <v>201</v>
      </c>
      <c r="J27" s="161" t="s">
        <v>331</v>
      </c>
      <c r="K27" s="161" t="s">
        <v>304</v>
      </c>
      <c r="L27" s="162" t="s">
        <v>305</v>
      </c>
      <c r="M27" s="163">
        <v>-2562</v>
      </c>
      <c r="N27" s="163"/>
      <c r="O27" s="163"/>
      <c r="P27" s="163">
        <v>0</v>
      </c>
      <c r="Q27" s="124">
        <f t="shared" si="1"/>
        <v>-2562</v>
      </c>
      <c r="R27" s="154"/>
      <c r="S27" s="73">
        <f t="shared" si="2"/>
        <v>-292.32420000000002</v>
      </c>
    </row>
    <row r="28" spans="1:19" ht="15">
      <c r="A28" s="161" t="s">
        <v>296</v>
      </c>
      <c r="B28" s="161" t="s">
        <v>325</v>
      </c>
      <c r="C28" s="161" t="s">
        <v>326</v>
      </c>
      <c r="D28" s="162" t="s">
        <v>327</v>
      </c>
      <c r="E28" s="162" t="s">
        <v>328</v>
      </c>
      <c r="F28" s="162" t="s">
        <v>301</v>
      </c>
      <c r="G28" s="161">
        <v>105099</v>
      </c>
      <c r="H28" s="161" t="s">
        <v>306</v>
      </c>
      <c r="I28" s="161">
        <v>201</v>
      </c>
      <c r="J28" s="161" t="s">
        <v>332</v>
      </c>
      <c r="K28" s="161" t="s">
        <v>304</v>
      </c>
      <c r="L28" s="162" t="s">
        <v>305</v>
      </c>
      <c r="M28" s="163">
        <v>2562</v>
      </c>
      <c r="N28" s="163"/>
      <c r="O28" s="163"/>
      <c r="P28" s="163">
        <v>0</v>
      </c>
      <c r="Q28" s="124">
        <f t="shared" si="1"/>
        <v>2562</v>
      </c>
      <c r="R28" s="154"/>
      <c r="S28" s="73">
        <f t="shared" si="2"/>
        <v>292.32420000000002</v>
      </c>
    </row>
    <row r="29" spans="1:19" ht="15">
      <c r="A29" s="161" t="s">
        <v>296</v>
      </c>
      <c r="B29" s="161" t="s">
        <v>325</v>
      </c>
      <c r="C29" s="161" t="s">
        <v>326</v>
      </c>
      <c r="D29" s="162" t="s">
        <v>327</v>
      </c>
      <c r="E29" s="162" t="s">
        <v>328</v>
      </c>
      <c r="F29" s="162" t="s">
        <v>301</v>
      </c>
      <c r="G29" s="164">
        <v>109001</v>
      </c>
      <c r="H29" s="161" t="s">
        <v>324</v>
      </c>
      <c r="I29" s="161">
        <v>201</v>
      </c>
      <c r="J29" s="161" t="s">
        <v>304</v>
      </c>
      <c r="K29" s="161" t="s">
        <v>304</v>
      </c>
      <c r="L29" s="162" t="s">
        <v>305</v>
      </c>
      <c r="M29" s="163">
        <v>41548.9</v>
      </c>
      <c r="N29" s="163"/>
      <c r="O29" s="163"/>
      <c r="P29" s="163">
        <v>42000</v>
      </c>
      <c r="Q29" s="124">
        <f t="shared" si="1"/>
        <v>-451.09999999999854</v>
      </c>
      <c r="R29" s="124">
        <f t="shared" ref="R29:R30" si="3">M29*-1.141</f>
        <v>-47407.294900000001</v>
      </c>
    </row>
    <row r="30" spans="1:19" ht="15">
      <c r="A30" s="161" t="s">
        <v>296</v>
      </c>
      <c r="B30" s="161" t="s">
        <v>325</v>
      </c>
      <c r="C30" s="161" t="s">
        <v>326</v>
      </c>
      <c r="D30" s="162" t="s">
        <v>327</v>
      </c>
      <c r="E30" s="162" t="s">
        <v>328</v>
      </c>
      <c r="F30" s="162" t="s">
        <v>301</v>
      </c>
      <c r="G30" s="164">
        <v>109001</v>
      </c>
      <c r="H30" s="161" t="s">
        <v>324</v>
      </c>
      <c r="I30" s="161">
        <v>201</v>
      </c>
      <c r="J30" s="161" t="s">
        <v>330</v>
      </c>
      <c r="K30" s="161" t="s">
        <v>304</v>
      </c>
      <c r="L30" s="162" t="s">
        <v>305</v>
      </c>
      <c r="M30" s="163">
        <v>0</v>
      </c>
      <c r="N30" s="163"/>
      <c r="O30" s="163"/>
      <c r="P30" s="163">
        <v>0</v>
      </c>
      <c r="Q30" s="124">
        <f t="shared" si="1"/>
        <v>0</v>
      </c>
      <c r="R30" s="124">
        <f t="shared" si="3"/>
        <v>0</v>
      </c>
    </row>
    <row r="31" spans="1:19" ht="15">
      <c r="A31" s="161" t="s">
        <v>296</v>
      </c>
      <c r="B31" s="161" t="s">
        <v>325</v>
      </c>
      <c r="C31" s="161" t="s">
        <v>326</v>
      </c>
      <c r="D31" s="162" t="s">
        <v>327</v>
      </c>
      <c r="E31" s="162" t="s">
        <v>328</v>
      </c>
      <c r="F31" s="162" t="s">
        <v>301</v>
      </c>
      <c r="G31" s="164">
        <v>109901</v>
      </c>
      <c r="H31" s="161" t="s">
        <v>309</v>
      </c>
      <c r="I31" s="161">
        <v>201</v>
      </c>
      <c r="J31" s="161" t="s">
        <v>304</v>
      </c>
      <c r="K31" s="161" t="s">
        <v>304</v>
      </c>
      <c r="L31" s="162" t="s">
        <v>305</v>
      </c>
      <c r="M31" s="163">
        <v>62843.81</v>
      </c>
      <c r="N31" s="163"/>
      <c r="O31" s="163"/>
      <c r="P31" s="163">
        <v>65000</v>
      </c>
      <c r="Q31" s="124">
        <f t="shared" si="1"/>
        <v>-2156.1900000000023</v>
      </c>
      <c r="R31" s="154"/>
    </row>
    <row r="32" spans="1:19" ht="15">
      <c r="A32" s="161" t="s">
        <v>296</v>
      </c>
      <c r="B32" s="161" t="s">
        <v>325</v>
      </c>
      <c r="C32" s="161" t="s">
        <v>326</v>
      </c>
      <c r="D32" s="162" t="s">
        <v>327</v>
      </c>
      <c r="E32" s="162" t="s">
        <v>328</v>
      </c>
      <c r="F32" s="162" t="s">
        <v>301</v>
      </c>
      <c r="G32" s="164">
        <v>109901</v>
      </c>
      <c r="H32" s="161" t="s">
        <v>309</v>
      </c>
      <c r="I32" s="161">
        <v>201</v>
      </c>
      <c r="J32" s="161" t="s">
        <v>332</v>
      </c>
      <c r="K32" s="161" t="s">
        <v>304</v>
      </c>
      <c r="L32" s="162" t="s">
        <v>305</v>
      </c>
      <c r="M32" s="163">
        <v>361.27</v>
      </c>
      <c r="N32" s="163"/>
      <c r="O32" s="163"/>
      <c r="P32" s="163">
        <v>0</v>
      </c>
      <c r="Q32" s="124">
        <f t="shared" si="1"/>
        <v>361.27</v>
      </c>
      <c r="R32" s="154"/>
    </row>
    <row r="33" spans="1:19" ht="15">
      <c r="A33" s="161" t="s">
        <v>296</v>
      </c>
      <c r="B33" s="161" t="s">
        <v>325</v>
      </c>
      <c r="C33" s="161" t="s">
        <v>326</v>
      </c>
      <c r="D33" s="162" t="s">
        <v>327</v>
      </c>
      <c r="E33" s="162" t="s">
        <v>328</v>
      </c>
      <c r="F33" s="162" t="s">
        <v>301</v>
      </c>
      <c r="G33" s="164">
        <v>109901</v>
      </c>
      <c r="H33" s="161" t="s">
        <v>309</v>
      </c>
      <c r="I33" s="161">
        <v>201</v>
      </c>
      <c r="J33" s="161" t="s">
        <v>330</v>
      </c>
      <c r="K33" s="161" t="s">
        <v>304</v>
      </c>
      <c r="L33" s="162" t="s">
        <v>305</v>
      </c>
      <c r="M33" s="163">
        <v>0</v>
      </c>
      <c r="N33" s="163"/>
      <c r="O33" s="163"/>
      <c r="P33" s="163">
        <v>0</v>
      </c>
      <c r="Q33" s="124">
        <f t="shared" si="1"/>
        <v>0</v>
      </c>
      <c r="R33" s="154"/>
    </row>
    <row r="34" spans="1:19" ht="15">
      <c r="A34" s="161" t="s">
        <v>296</v>
      </c>
      <c r="B34" s="161" t="s">
        <v>333</v>
      </c>
      <c r="C34" s="161" t="s">
        <v>248</v>
      </c>
      <c r="D34" s="162" t="s">
        <v>327</v>
      </c>
      <c r="E34" s="162" t="s">
        <v>328</v>
      </c>
      <c r="F34" s="162" t="s">
        <v>301</v>
      </c>
      <c r="G34" s="161">
        <v>101001</v>
      </c>
      <c r="H34" s="161" t="s">
        <v>329</v>
      </c>
      <c r="I34" s="161">
        <v>201</v>
      </c>
      <c r="J34" s="161" t="s">
        <v>304</v>
      </c>
      <c r="K34" s="161" t="s">
        <v>304</v>
      </c>
      <c r="L34" s="162" t="s">
        <v>305</v>
      </c>
      <c r="M34" s="163">
        <v>4355536.41</v>
      </c>
      <c r="N34" s="163"/>
      <c r="O34" s="163"/>
      <c r="P34" s="163">
        <v>4734000</v>
      </c>
      <c r="Q34" s="124">
        <f t="shared" si="1"/>
        <v>-378463.58999999985</v>
      </c>
      <c r="R34" s="154"/>
      <c r="S34" s="73">
        <f t="shared" ref="S34:S52" si="4">M34*$S$7*1.141</f>
        <v>496966.70438100008</v>
      </c>
    </row>
    <row r="35" spans="1:19" ht="15">
      <c r="A35" s="161" t="s">
        <v>296</v>
      </c>
      <c r="B35" s="161" t="s">
        <v>333</v>
      </c>
      <c r="C35" s="161" t="s">
        <v>248</v>
      </c>
      <c r="D35" s="162" t="s">
        <v>327</v>
      </c>
      <c r="E35" s="162"/>
      <c r="F35" s="162" t="s">
        <v>301</v>
      </c>
      <c r="G35" s="161">
        <v>101001</v>
      </c>
      <c r="H35" s="161" t="s">
        <v>329</v>
      </c>
      <c r="I35" s="161">
        <v>201</v>
      </c>
      <c r="J35" s="161" t="s">
        <v>334</v>
      </c>
      <c r="K35" s="161" t="s">
        <v>304</v>
      </c>
      <c r="L35" s="162" t="s">
        <v>305</v>
      </c>
      <c r="M35" s="163">
        <v>0</v>
      </c>
      <c r="N35" s="163"/>
      <c r="O35" s="163"/>
      <c r="P35" s="163">
        <v>0</v>
      </c>
      <c r="Q35" s="124">
        <f t="shared" si="1"/>
        <v>0</v>
      </c>
      <c r="R35" s="154"/>
      <c r="S35" s="73">
        <f t="shared" si="4"/>
        <v>0</v>
      </c>
    </row>
    <row r="36" spans="1:19" ht="15">
      <c r="A36" s="161" t="s">
        <v>296</v>
      </c>
      <c r="B36" s="161" t="s">
        <v>333</v>
      </c>
      <c r="C36" s="161" t="s">
        <v>248</v>
      </c>
      <c r="D36" s="162" t="s">
        <v>327</v>
      </c>
      <c r="E36" s="162" t="s">
        <v>328</v>
      </c>
      <c r="F36" s="162" t="s">
        <v>301</v>
      </c>
      <c r="G36" s="161">
        <v>101002</v>
      </c>
      <c r="H36" s="161" t="s">
        <v>335</v>
      </c>
      <c r="I36" s="161">
        <v>201</v>
      </c>
      <c r="J36" s="161" t="s">
        <v>304</v>
      </c>
      <c r="K36" s="161" t="s">
        <v>304</v>
      </c>
      <c r="L36" s="162" t="s">
        <v>305</v>
      </c>
      <c r="M36" s="163">
        <v>289734.34000000003</v>
      </c>
      <c r="N36" s="163"/>
      <c r="O36" s="163"/>
      <c r="P36" s="163">
        <v>14000</v>
      </c>
      <c r="Q36" s="124">
        <f t="shared" si="1"/>
        <v>275734.34000000003</v>
      </c>
      <c r="R36" s="154"/>
      <c r="S36" s="73">
        <f t="shared" si="4"/>
        <v>33058.688194000009</v>
      </c>
    </row>
    <row r="37" spans="1:19" ht="15">
      <c r="A37" s="161" t="s">
        <v>296</v>
      </c>
      <c r="B37" s="161" t="s">
        <v>333</v>
      </c>
      <c r="C37" s="161" t="s">
        <v>248</v>
      </c>
      <c r="D37" s="162" t="s">
        <v>327</v>
      </c>
      <c r="E37" s="162" t="s">
        <v>328</v>
      </c>
      <c r="F37" s="162" t="s">
        <v>301</v>
      </c>
      <c r="G37" s="161">
        <v>101002</v>
      </c>
      <c r="H37" s="161" t="s">
        <v>335</v>
      </c>
      <c r="I37" s="161">
        <v>201</v>
      </c>
      <c r="J37" s="161" t="s">
        <v>336</v>
      </c>
      <c r="K37" s="161" t="s">
        <v>304</v>
      </c>
      <c r="L37" s="162" t="s">
        <v>305</v>
      </c>
      <c r="M37" s="163">
        <v>6006.61</v>
      </c>
      <c r="N37" s="163"/>
      <c r="O37" s="163"/>
      <c r="P37" s="163">
        <v>0</v>
      </c>
      <c r="Q37" s="124">
        <f t="shared" si="1"/>
        <v>6006.61</v>
      </c>
      <c r="R37" s="124"/>
      <c r="S37" s="73">
        <f t="shared" si="4"/>
        <v>685.35420099999999</v>
      </c>
    </row>
    <row r="38" spans="1:19" ht="15">
      <c r="A38" s="161" t="s">
        <v>296</v>
      </c>
      <c r="B38" s="161" t="s">
        <v>333</v>
      </c>
      <c r="C38" s="161" t="s">
        <v>248</v>
      </c>
      <c r="D38" s="162" t="s">
        <v>327</v>
      </c>
      <c r="E38" s="162" t="s">
        <v>328</v>
      </c>
      <c r="F38" s="162" t="s">
        <v>301</v>
      </c>
      <c r="G38" s="161">
        <v>101039</v>
      </c>
      <c r="H38" s="161" t="s">
        <v>312</v>
      </c>
      <c r="I38" s="161">
        <v>201</v>
      </c>
      <c r="J38" s="161" t="s">
        <v>304</v>
      </c>
      <c r="K38" s="161" t="s">
        <v>304</v>
      </c>
      <c r="L38" s="162" t="s">
        <v>305</v>
      </c>
      <c r="M38" s="163">
        <v>78959.89</v>
      </c>
      <c r="N38" s="163"/>
      <c r="O38" s="163"/>
      <c r="P38" s="163">
        <v>10000</v>
      </c>
      <c r="Q38" s="124">
        <f t="shared" si="1"/>
        <v>68959.89</v>
      </c>
      <c r="R38" s="124"/>
      <c r="S38" s="73">
        <f t="shared" si="4"/>
        <v>9009.3234490000013</v>
      </c>
    </row>
    <row r="39" spans="1:19" ht="15">
      <c r="A39" s="161" t="s">
        <v>296</v>
      </c>
      <c r="B39" s="161" t="s">
        <v>333</v>
      </c>
      <c r="C39" s="161" t="s">
        <v>248</v>
      </c>
      <c r="D39" s="162" t="s">
        <v>327</v>
      </c>
      <c r="E39" s="162" t="s">
        <v>328</v>
      </c>
      <c r="F39" s="162" t="s">
        <v>301</v>
      </c>
      <c r="G39" s="161">
        <v>102001</v>
      </c>
      <c r="H39" s="161" t="s">
        <v>337</v>
      </c>
      <c r="I39" s="161">
        <v>201</v>
      </c>
      <c r="J39" s="161" t="s">
        <v>304</v>
      </c>
      <c r="K39" s="161" t="s">
        <v>304</v>
      </c>
      <c r="L39" s="162" t="s">
        <v>305</v>
      </c>
      <c r="M39" s="163">
        <v>0</v>
      </c>
      <c r="N39" s="163"/>
      <c r="O39" s="163"/>
      <c r="P39" s="163">
        <v>3000</v>
      </c>
      <c r="Q39" s="124">
        <f t="shared" si="1"/>
        <v>-3000</v>
      </c>
      <c r="R39" s="124"/>
      <c r="S39" s="73">
        <f t="shared" si="4"/>
        <v>0</v>
      </c>
    </row>
    <row r="40" spans="1:19" ht="15">
      <c r="A40" s="161" t="s">
        <v>296</v>
      </c>
      <c r="B40" s="161" t="s">
        <v>333</v>
      </c>
      <c r="C40" s="161" t="s">
        <v>248</v>
      </c>
      <c r="D40" s="162" t="s">
        <v>327</v>
      </c>
      <c r="E40" s="162" t="s">
        <v>328</v>
      </c>
      <c r="F40" s="162" t="s">
        <v>301</v>
      </c>
      <c r="G40" s="161">
        <v>102001</v>
      </c>
      <c r="H40" s="161" t="s">
        <v>337</v>
      </c>
      <c r="I40" s="161">
        <v>201</v>
      </c>
      <c r="J40" s="161" t="s">
        <v>336</v>
      </c>
      <c r="K40" s="161" t="s">
        <v>304</v>
      </c>
      <c r="L40" s="162" t="s">
        <v>305</v>
      </c>
      <c r="M40" s="163">
        <v>13354.14</v>
      </c>
      <c r="N40" s="163"/>
      <c r="O40" s="163"/>
      <c r="P40" s="163">
        <v>0</v>
      </c>
      <c r="Q40" s="124">
        <f t="shared" si="1"/>
        <v>13354.14</v>
      </c>
      <c r="R40" s="124"/>
      <c r="S40" s="73">
        <f t="shared" si="4"/>
        <v>1523.7073740000001</v>
      </c>
    </row>
    <row r="41" spans="1:19" ht="15">
      <c r="A41" s="161" t="s">
        <v>296</v>
      </c>
      <c r="B41" s="161" t="s">
        <v>333</v>
      </c>
      <c r="C41" s="161" t="s">
        <v>248</v>
      </c>
      <c r="D41" s="162" t="s">
        <v>327</v>
      </c>
      <c r="E41" s="162" t="s">
        <v>328</v>
      </c>
      <c r="F41" s="162" t="s">
        <v>301</v>
      </c>
      <c r="G41" s="161">
        <v>102002</v>
      </c>
      <c r="H41" s="161" t="s">
        <v>338</v>
      </c>
      <c r="I41" s="161">
        <v>201</v>
      </c>
      <c r="J41" s="161" t="s">
        <v>304</v>
      </c>
      <c r="K41" s="161" t="s">
        <v>304</v>
      </c>
      <c r="L41" s="162" t="s">
        <v>305</v>
      </c>
      <c r="M41" s="163">
        <v>8103.5</v>
      </c>
      <c r="N41" s="163"/>
      <c r="O41" s="163"/>
      <c r="P41" s="163">
        <v>0</v>
      </c>
      <c r="Q41" s="124">
        <f t="shared" si="1"/>
        <v>8103.5</v>
      </c>
      <c r="R41" s="124"/>
      <c r="S41" s="73">
        <f t="shared" si="4"/>
        <v>924.60935000000006</v>
      </c>
    </row>
    <row r="42" spans="1:19" ht="15">
      <c r="A42" s="161" t="s">
        <v>296</v>
      </c>
      <c r="B42" s="161" t="s">
        <v>333</v>
      </c>
      <c r="C42" s="161" t="s">
        <v>248</v>
      </c>
      <c r="D42" s="162" t="s">
        <v>327</v>
      </c>
      <c r="E42" s="162" t="s">
        <v>328</v>
      </c>
      <c r="F42" s="162" t="s">
        <v>301</v>
      </c>
      <c r="G42" s="161">
        <v>102003</v>
      </c>
      <c r="H42" s="161" t="s">
        <v>339</v>
      </c>
      <c r="I42" s="161">
        <v>201</v>
      </c>
      <c r="J42" s="161" t="s">
        <v>304</v>
      </c>
      <c r="K42" s="161" t="s">
        <v>304</v>
      </c>
      <c r="L42" s="162" t="s">
        <v>305</v>
      </c>
      <c r="M42" s="163">
        <v>94711.74</v>
      </c>
      <c r="N42" s="163"/>
      <c r="O42" s="163"/>
      <c r="P42" s="163">
        <v>138000</v>
      </c>
      <c r="Q42" s="124">
        <f t="shared" si="1"/>
        <v>-43288.259999999995</v>
      </c>
      <c r="R42" s="124"/>
      <c r="S42" s="73">
        <f t="shared" si="4"/>
        <v>10806.609534000001</v>
      </c>
    </row>
    <row r="43" spans="1:19" ht="15">
      <c r="A43" s="161" t="s">
        <v>296</v>
      </c>
      <c r="B43" s="161" t="s">
        <v>333</v>
      </c>
      <c r="C43" s="161" t="s">
        <v>248</v>
      </c>
      <c r="D43" s="162" t="s">
        <v>327</v>
      </c>
      <c r="E43" s="162" t="s">
        <v>328</v>
      </c>
      <c r="F43" s="162" t="s">
        <v>301</v>
      </c>
      <c r="G43" s="161">
        <v>102005</v>
      </c>
      <c r="H43" s="161" t="s">
        <v>340</v>
      </c>
      <c r="I43" s="161">
        <v>201</v>
      </c>
      <c r="J43" s="161" t="s">
        <v>304</v>
      </c>
      <c r="K43" s="161" t="s">
        <v>304</v>
      </c>
      <c r="L43" s="162" t="s">
        <v>305</v>
      </c>
      <c r="M43" s="163">
        <v>89522.39</v>
      </c>
      <c r="N43" s="163"/>
      <c r="O43" s="163"/>
      <c r="P43" s="163">
        <v>0</v>
      </c>
      <c r="Q43" s="124">
        <f t="shared" si="1"/>
        <v>89522.39</v>
      </c>
      <c r="R43" s="124"/>
      <c r="S43" s="73">
        <f t="shared" si="4"/>
        <v>10214.504698999999</v>
      </c>
    </row>
    <row r="44" spans="1:19" ht="15">
      <c r="A44" s="161" t="s">
        <v>296</v>
      </c>
      <c r="B44" s="161" t="s">
        <v>333</v>
      </c>
      <c r="C44" s="161" t="s">
        <v>248</v>
      </c>
      <c r="D44" s="162" t="s">
        <v>327</v>
      </c>
      <c r="E44" s="162" t="s">
        <v>328</v>
      </c>
      <c r="F44" s="162" t="s">
        <v>301</v>
      </c>
      <c r="G44" s="161">
        <v>102062</v>
      </c>
      <c r="H44" s="161" t="s">
        <v>341</v>
      </c>
      <c r="I44" s="161">
        <v>201</v>
      </c>
      <c r="J44" s="161" t="s">
        <v>304</v>
      </c>
      <c r="K44" s="161" t="s">
        <v>304</v>
      </c>
      <c r="L44" s="162" t="s">
        <v>305</v>
      </c>
      <c r="M44" s="163">
        <v>2451.84</v>
      </c>
      <c r="N44" s="163"/>
      <c r="O44" s="163"/>
      <c r="P44" s="163">
        <v>0</v>
      </c>
      <c r="Q44" s="124">
        <f t="shared" si="1"/>
        <v>2451.84</v>
      </c>
      <c r="R44" s="124"/>
      <c r="S44" s="73">
        <f t="shared" si="4"/>
        <v>279.75494400000002</v>
      </c>
    </row>
    <row r="45" spans="1:19" ht="15">
      <c r="A45" s="161" t="s">
        <v>296</v>
      </c>
      <c r="B45" s="161" t="s">
        <v>333</v>
      </c>
      <c r="C45" s="161" t="s">
        <v>248</v>
      </c>
      <c r="D45" s="162" t="s">
        <v>327</v>
      </c>
      <c r="E45" s="162" t="s">
        <v>328</v>
      </c>
      <c r="F45" s="162" t="s">
        <v>301</v>
      </c>
      <c r="G45" s="161">
        <v>103001</v>
      </c>
      <c r="H45" s="161" t="s">
        <v>342</v>
      </c>
      <c r="I45" s="161">
        <v>201</v>
      </c>
      <c r="J45" s="161" t="s">
        <v>304</v>
      </c>
      <c r="K45" s="161" t="s">
        <v>304</v>
      </c>
      <c r="L45" s="162" t="s">
        <v>305</v>
      </c>
      <c r="M45" s="163">
        <v>63113.81</v>
      </c>
      <c r="N45" s="163"/>
      <c r="O45" s="163"/>
      <c r="P45" s="163">
        <v>0</v>
      </c>
      <c r="Q45" s="124">
        <f t="shared" si="1"/>
        <v>63113.81</v>
      </c>
      <c r="R45" s="124"/>
      <c r="S45" s="73">
        <f t="shared" si="4"/>
        <v>7201.2857210000002</v>
      </c>
    </row>
    <row r="46" spans="1:19" ht="15">
      <c r="A46" s="161" t="s">
        <v>296</v>
      </c>
      <c r="B46" s="161" t="s">
        <v>333</v>
      </c>
      <c r="C46" s="161" t="s">
        <v>248</v>
      </c>
      <c r="D46" s="162" t="s">
        <v>327</v>
      </c>
      <c r="E46" s="162" t="s">
        <v>328</v>
      </c>
      <c r="F46" s="162" t="s">
        <v>301</v>
      </c>
      <c r="G46" s="161">
        <v>103001</v>
      </c>
      <c r="H46" s="161" t="s">
        <v>342</v>
      </c>
      <c r="I46" s="161">
        <v>201</v>
      </c>
      <c r="J46" s="161" t="s">
        <v>336</v>
      </c>
      <c r="K46" s="161" t="s">
        <v>304</v>
      </c>
      <c r="L46" s="162" t="s">
        <v>305</v>
      </c>
      <c r="M46" s="163">
        <v>908.1</v>
      </c>
      <c r="N46" s="163"/>
      <c r="O46" s="163"/>
      <c r="P46" s="163">
        <v>0</v>
      </c>
      <c r="Q46" s="124">
        <f t="shared" si="1"/>
        <v>908.1</v>
      </c>
      <c r="R46" s="124"/>
      <c r="S46" s="73">
        <f t="shared" si="4"/>
        <v>103.61421</v>
      </c>
    </row>
    <row r="47" spans="1:19" ht="15">
      <c r="A47" s="161" t="s">
        <v>296</v>
      </c>
      <c r="B47" s="161" t="s">
        <v>333</v>
      </c>
      <c r="C47" s="161" t="s">
        <v>248</v>
      </c>
      <c r="D47" s="162" t="s">
        <v>327</v>
      </c>
      <c r="E47" s="162" t="s">
        <v>328</v>
      </c>
      <c r="F47" s="162" t="s">
        <v>301</v>
      </c>
      <c r="G47" s="161">
        <v>103062</v>
      </c>
      <c r="H47" s="161" t="s">
        <v>343</v>
      </c>
      <c r="I47" s="161">
        <v>201</v>
      </c>
      <c r="J47" s="161" t="s">
        <v>304</v>
      </c>
      <c r="K47" s="161" t="s">
        <v>304</v>
      </c>
      <c r="L47" s="162" t="s">
        <v>305</v>
      </c>
      <c r="M47" s="163">
        <v>107.52</v>
      </c>
      <c r="N47" s="163"/>
      <c r="O47" s="163"/>
      <c r="P47" s="163">
        <v>0</v>
      </c>
      <c r="Q47" s="124">
        <f t="shared" si="1"/>
        <v>107.52</v>
      </c>
      <c r="R47" s="124"/>
      <c r="S47" s="73">
        <f t="shared" si="4"/>
        <v>12.268032000000002</v>
      </c>
    </row>
    <row r="48" spans="1:19" ht="15">
      <c r="A48" s="161" t="s">
        <v>296</v>
      </c>
      <c r="B48" s="161" t="s">
        <v>333</v>
      </c>
      <c r="C48" s="161" t="s">
        <v>248</v>
      </c>
      <c r="D48" s="162" t="s">
        <v>327</v>
      </c>
      <c r="E48" s="162" t="s">
        <v>328</v>
      </c>
      <c r="F48" s="162" t="s">
        <v>301</v>
      </c>
      <c r="G48" s="161">
        <v>103069</v>
      </c>
      <c r="H48" s="161" t="s">
        <v>344</v>
      </c>
      <c r="I48" s="161">
        <v>201</v>
      </c>
      <c r="J48" s="161" t="s">
        <v>304</v>
      </c>
      <c r="K48" s="161" t="s">
        <v>304</v>
      </c>
      <c r="L48" s="162" t="s">
        <v>305</v>
      </c>
      <c r="M48" s="163">
        <v>5793.54</v>
      </c>
      <c r="N48" s="163"/>
      <c r="O48" s="163"/>
      <c r="P48" s="163">
        <v>0</v>
      </c>
      <c r="Q48" s="124">
        <f t="shared" si="1"/>
        <v>5793.54</v>
      </c>
      <c r="R48" s="124"/>
      <c r="S48" s="73">
        <f t="shared" si="4"/>
        <v>661.04291400000011</v>
      </c>
    </row>
    <row r="49" spans="1:19" ht="15">
      <c r="A49" s="161" t="s">
        <v>296</v>
      </c>
      <c r="B49" s="161" t="s">
        <v>333</v>
      </c>
      <c r="C49" s="161" t="s">
        <v>248</v>
      </c>
      <c r="D49" s="162" t="s">
        <v>327</v>
      </c>
      <c r="E49" s="162" t="s">
        <v>328</v>
      </c>
      <c r="F49" s="162" t="s">
        <v>301</v>
      </c>
      <c r="G49" s="161">
        <v>104000</v>
      </c>
      <c r="H49" s="161" t="s">
        <v>345</v>
      </c>
      <c r="I49" s="161">
        <v>201</v>
      </c>
      <c r="J49" s="161" t="s">
        <v>304</v>
      </c>
      <c r="K49" s="161" t="s">
        <v>304</v>
      </c>
      <c r="L49" s="162" t="s">
        <v>305</v>
      </c>
      <c r="M49" s="163">
        <v>50959.77</v>
      </c>
      <c r="N49" s="163"/>
      <c r="O49" s="163"/>
      <c r="P49" s="163">
        <v>44000</v>
      </c>
      <c r="Q49" s="124">
        <f t="shared" si="1"/>
        <v>6959.7699999999968</v>
      </c>
      <c r="R49" s="124"/>
      <c r="S49" s="73">
        <f t="shared" si="4"/>
        <v>5814.5097569999998</v>
      </c>
    </row>
    <row r="50" spans="1:19" ht="15">
      <c r="A50" s="161" t="s">
        <v>296</v>
      </c>
      <c r="B50" s="161" t="s">
        <v>333</v>
      </c>
      <c r="C50" s="161" t="s">
        <v>248</v>
      </c>
      <c r="D50" s="162" t="s">
        <v>327</v>
      </c>
      <c r="E50" s="162" t="s">
        <v>328</v>
      </c>
      <c r="F50" s="162" t="s">
        <v>301</v>
      </c>
      <c r="G50" s="161">
        <v>105003</v>
      </c>
      <c r="H50" s="161" t="s">
        <v>346</v>
      </c>
      <c r="I50" s="161">
        <v>201</v>
      </c>
      <c r="J50" s="161" t="s">
        <v>304</v>
      </c>
      <c r="K50" s="161" t="s">
        <v>304</v>
      </c>
      <c r="L50" s="162" t="s">
        <v>305</v>
      </c>
      <c r="M50" s="163">
        <v>43447.86</v>
      </c>
      <c r="N50" s="163"/>
      <c r="O50" s="163"/>
      <c r="P50" s="163">
        <v>0</v>
      </c>
      <c r="Q50" s="124">
        <f t="shared" si="1"/>
        <v>43447.86</v>
      </c>
      <c r="R50" s="124"/>
      <c r="S50" s="73">
        <f t="shared" si="4"/>
        <v>4957.4008260000001</v>
      </c>
    </row>
    <row r="51" spans="1:19" ht="15">
      <c r="A51" s="161" t="s">
        <v>296</v>
      </c>
      <c r="B51" s="161" t="s">
        <v>333</v>
      </c>
      <c r="C51" s="161" t="s">
        <v>248</v>
      </c>
      <c r="D51" s="162" t="s">
        <v>327</v>
      </c>
      <c r="E51" s="162" t="s">
        <v>328</v>
      </c>
      <c r="F51" s="162" t="s">
        <v>301</v>
      </c>
      <c r="G51" s="161">
        <v>105010</v>
      </c>
      <c r="H51" s="161" t="s">
        <v>347</v>
      </c>
      <c r="I51" s="161">
        <v>201</v>
      </c>
      <c r="J51" s="161" t="s">
        <v>304</v>
      </c>
      <c r="K51" s="161" t="s">
        <v>304</v>
      </c>
      <c r="L51" s="162" t="s">
        <v>305</v>
      </c>
      <c r="M51" s="163">
        <v>3303.39</v>
      </c>
      <c r="N51" s="163"/>
      <c r="O51" s="163"/>
      <c r="P51" s="163">
        <v>0</v>
      </c>
      <c r="Q51" s="124">
        <f t="shared" si="1"/>
        <v>3303.39</v>
      </c>
      <c r="R51" s="124"/>
      <c r="S51" s="73">
        <f t="shared" si="4"/>
        <v>376.91679900000003</v>
      </c>
    </row>
    <row r="52" spans="1:19" ht="15">
      <c r="A52" s="161" t="s">
        <v>296</v>
      </c>
      <c r="B52" s="161" t="s">
        <v>333</v>
      </c>
      <c r="C52" s="161" t="s">
        <v>248</v>
      </c>
      <c r="D52" s="162" t="s">
        <v>327</v>
      </c>
      <c r="E52" s="162" t="s">
        <v>328</v>
      </c>
      <c r="F52" s="162" t="s">
        <v>301</v>
      </c>
      <c r="G52" s="161">
        <v>105019</v>
      </c>
      <c r="H52" s="161" t="s">
        <v>348</v>
      </c>
      <c r="I52" s="161">
        <v>201</v>
      </c>
      <c r="J52" s="161" t="s">
        <v>304</v>
      </c>
      <c r="K52" s="161" t="s">
        <v>304</v>
      </c>
      <c r="L52" s="162" t="s">
        <v>305</v>
      </c>
      <c r="M52" s="163">
        <v>51.94</v>
      </c>
      <c r="N52" s="163"/>
      <c r="O52" s="163"/>
      <c r="P52" s="163">
        <v>0</v>
      </c>
      <c r="Q52" s="124">
        <f t="shared" si="1"/>
        <v>51.94</v>
      </c>
      <c r="R52" s="124"/>
      <c r="S52" s="73">
        <f t="shared" si="4"/>
        <v>5.9263539999999999</v>
      </c>
    </row>
    <row r="53" spans="1:19" ht="15">
      <c r="A53" s="161" t="s">
        <v>296</v>
      </c>
      <c r="B53" s="161" t="s">
        <v>333</v>
      </c>
      <c r="C53" s="161" t="s">
        <v>248</v>
      </c>
      <c r="D53" s="162" t="s">
        <v>327</v>
      </c>
      <c r="E53" s="162" t="s">
        <v>328</v>
      </c>
      <c r="F53" s="162" t="s">
        <v>301</v>
      </c>
      <c r="G53" s="164">
        <v>109001</v>
      </c>
      <c r="H53" s="161" t="s">
        <v>324</v>
      </c>
      <c r="I53" s="161">
        <v>201</v>
      </c>
      <c r="J53" s="161" t="s">
        <v>304</v>
      </c>
      <c r="K53" s="161" t="s">
        <v>304</v>
      </c>
      <c r="L53" s="162" t="s">
        <v>305</v>
      </c>
      <c r="M53" s="163">
        <v>466917.96</v>
      </c>
      <c r="N53" s="163"/>
      <c r="O53" s="163"/>
      <c r="P53" s="163">
        <v>464000</v>
      </c>
      <c r="Q53" s="124">
        <f t="shared" si="1"/>
        <v>2917.960000000021</v>
      </c>
      <c r="R53" s="124">
        <f t="shared" ref="R53:R55" si="5">M53*-1.141</f>
        <v>-532753.39236000006</v>
      </c>
    </row>
    <row r="54" spans="1:19" ht="15">
      <c r="A54" s="161" t="s">
        <v>296</v>
      </c>
      <c r="B54" s="161" t="s">
        <v>333</v>
      </c>
      <c r="C54" s="161" t="s">
        <v>248</v>
      </c>
      <c r="D54" s="162" t="s">
        <v>327</v>
      </c>
      <c r="E54" s="162" t="s">
        <v>328</v>
      </c>
      <c r="F54" s="162" t="s">
        <v>301</v>
      </c>
      <c r="G54" s="164">
        <v>109001</v>
      </c>
      <c r="H54" s="161" t="s">
        <v>324</v>
      </c>
      <c r="I54" s="161">
        <v>201</v>
      </c>
      <c r="J54" s="161" t="s">
        <v>334</v>
      </c>
      <c r="K54" s="161" t="s">
        <v>304</v>
      </c>
      <c r="L54" s="162" t="s">
        <v>305</v>
      </c>
      <c r="M54" s="163">
        <v>0</v>
      </c>
      <c r="N54" s="163"/>
      <c r="O54" s="163"/>
      <c r="P54" s="163">
        <v>0</v>
      </c>
      <c r="Q54" s="124">
        <f t="shared" si="1"/>
        <v>0</v>
      </c>
      <c r="R54" s="124">
        <f t="shared" si="5"/>
        <v>0</v>
      </c>
    </row>
    <row r="55" spans="1:19" ht="15">
      <c r="A55" s="161" t="s">
        <v>296</v>
      </c>
      <c r="B55" s="161" t="s">
        <v>333</v>
      </c>
      <c r="C55" s="161" t="s">
        <v>248</v>
      </c>
      <c r="D55" s="162" t="s">
        <v>327</v>
      </c>
      <c r="E55" s="162" t="s">
        <v>328</v>
      </c>
      <c r="F55" s="162" t="s">
        <v>301</v>
      </c>
      <c r="G55" s="164">
        <v>109001</v>
      </c>
      <c r="H55" s="161" t="s">
        <v>324</v>
      </c>
      <c r="I55" s="161">
        <v>201</v>
      </c>
      <c r="J55" s="161" t="s">
        <v>336</v>
      </c>
      <c r="K55" s="161" t="s">
        <v>304</v>
      </c>
      <c r="L55" s="162" t="s">
        <v>305</v>
      </c>
      <c r="M55" s="163">
        <v>1776.02</v>
      </c>
      <c r="N55" s="163"/>
      <c r="O55" s="163"/>
      <c r="P55" s="163">
        <v>0</v>
      </c>
      <c r="Q55" s="124">
        <f t="shared" si="1"/>
        <v>1776.02</v>
      </c>
      <c r="R55" s="124">
        <f t="shared" si="5"/>
        <v>-2026.4388200000001</v>
      </c>
    </row>
    <row r="56" spans="1:19" ht="15">
      <c r="A56" s="161" t="s">
        <v>296</v>
      </c>
      <c r="B56" s="161" t="s">
        <v>333</v>
      </c>
      <c r="C56" s="161" t="s">
        <v>248</v>
      </c>
      <c r="D56" s="162" t="s">
        <v>327</v>
      </c>
      <c r="E56" s="162" t="s">
        <v>328</v>
      </c>
      <c r="F56" s="162" t="s">
        <v>301</v>
      </c>
      <c r="G56" s="164">
        <v>109901</v>
      </c>
      <c r="H56" s="161" t="s">
        <v>309</v>
      </c>
      <c r="I56" s="161">
        <v>201</v>
      </c>
      <c r="J56" s="161" t="s">
        <v>304</v>
      </c>
      <c r="K56" s="161" t="s">
        <v>304</v>
      </c>
      <c r="L56" s="162" t="s">
        <v>305</v>
      </c>
      <c r="M56" s="163">
        <v>762868.24</v>
      </c>
      <c r="N56" s="163"/>
      <c r="O56" s="163"/>
      <c r="P56" s="163">
        <v>761000</v>
      </c>
      <c r="Q56" s="124">
        <f t="shared" si="1"/>
        <v>1868.2399999999907</v>
      </c>
      <c r="R56" s="154"/>
    </row>
    <row r="57" spans="1:19" ht="15">
      <c r="A57" s="161" t="s">
        <v>296</v>
      </c>
      <c r="B57" s="161" t="s">
        <v>333</v>
      </c>
      <c r="C57" s="161" t="s">
        <v>248</v>
      </c>
      <c r="D57" s="162" t="s">
        <v>327</v>
      </c>
      <c r="E57" s="162" t="s">
        <v>328</v>
      </c>
      <c r="F57" s="162" t="s">
        <v>301</v>
      </c>
      <c r="G57" s="164">
        <v>109901</v>
      </c>
      <c r="H57" s="161" t="s">
        <v>309</v>
      </c>
      <c r="I57" s="161">
        <v>201</v>
      </c>
      <c r="J57" s="161" t="s">
        <v>334</v>
      </c>
      <c r="K57" s="161" t="s">
        <v>304</v>
      </c>
      <c r="L57" s="162" t="s">
        <v>305</v>
      </c>
      <c r="M57" s="163">
        <v>0</v>
      </c>
      <c r="N57" s="163"/>
      <c r="O57" s="163"/>
      <c r="P57" s="163">
        <v>0</v>
      </c>
      <c r="Q57" s="124">
        <f t="shared" si="1"/>
        <v>0</v>
      </c>
      <c r="R57" s="154"/>
    </row>
    <row r="58" spans="1:19" ht="15">
      <c r="A58" s="161" t="s">
        <v>296</v>
      </c>
      <c r="B58" s="161" t="s">
        <v>333</v>
      </c>
      <c r="C58" s="161" t="s">
        <v>248</v>
      </c>
      <c r="D58" s="162" t="s">
        <v>327</v>
      </c>
      <c r="E58" s="162" t="s">
        <v>328</v>
      </c>
      <c r="F58" s="162" t="s">
        <v>301</v>
      </c>
      <c r="G58" s="164">
        <v>109901</v>
      </c>
      <c r="H58" s="161" t="s">
        <v>309</v>
      </c>
      <c r="I58" s="161">
        <v>201</v>
      </c>
      <c r="J58" s="161" t="s">
        <v>336</v>
      </c>
      <c r="K58" s="161" t="s">
        <v>304</v>
      </c>
      <c r="L58" s="162" t="s">
        <v>305</v>
      </c>
      <c r="M58" s="163">
        <v>3108.34</v>
      </c>
      <c r="N58" s="163"/>
      <c r="O58" s="163"/>
      <c r="P58" s="163">
        <v>0</v>
      </c>
      <c r="Q58" s="124">
        <f t="shared" si="1"/>
        <v>3108.34</v>
      </c>
      <c r="R58" s="154"/>
    </row>
    <row r="59" spans="1:19" ht="15">
      <c r="A59" s="161" t="s">
        <v>296</v>
      </c>
      <c r="B59" s="161" t="s">
        <v>349</v>
      </c>
      <c r="C59" s="161" t="s">
        <v>250</v>
      </c>
      <c r="D59" s="162" t="s">
        <v>327</v>
      </c>
      <c r="E59" s="162" t="s">
        <v>328</v>
      </c>
      <c r="F59" s="162" t="s">
        <v>301</v>
      </c>
      <c r="G59" s="161">
        <v>101001</v>
      </c>
      <c r="H59" s="161" t="s">
        <v>329</v>
      </c>
      <c r="I59" s="161">
        <v>201</v>
      </c>
      <c r="J59" s="161" t="s">
        <v>304</v>
      </c>
      <c r="K59" s="161" t="s">
        <v>304</v>
      </c>
      <c r="L59" s="162" t="s">
        <v>305</v>
      </c>
      <c r="M59" s="163">
        <v>4910466.8</v>
      </c>
      <c r="N59" s="163"/>
      <c r="O59" s="163"/>
      <c r="P59" s="163">
        <v>5068000</v>
      </c>
      <c r="Q59" s="124">
        <f t="shared" si="1"/>
        <v>-157533.20000000019</v>
      </c>
      <c r="R59" s="154"/>
      <c r="S59" s="73">
        <f t="shared" ref="S59:S82" si="6">M59*$S$7*1.141</f>
        <v>560284.26188000001</v>
      </c>
    </row>
    <row r="60" spans="1:19" ht="15">
      <c r="A60" s="161" t="s">
        <v>296</v>
      </c>
      <c r="B60" s="161" t="s">
        <v>349</v>
      </c>
      <c r="C60" s="161" t="s">
        <v>250</v>
      </c>
      <c r="D60" s="162" t="s">
        <v>327</v>
      </c>
      <c r="E60" s="162" t="s">
        <v>328</v>
      </c>
      <c r="F60" s="162" t="s">
        <v>301</v>
      </c>
      <c r="G60" s="161">
        <v>101002</v>
      </c>
      <c r="H60" s="161" t="s">
        <v>335</v>
      </c>
      <c r="I60" s="161">
        <v>201</v>
      </c>
      <c r="J60" s="161" t="s">
        <v>304</v>
      </c>
      <c r="K60" s="161" t="s">
        <v>304</v>
      </c>
      <c r="L60" s="162" t="s">
        <v>305</v>
      </c>
      <c r="M60" s="163">
        <v>-17668.400000000001</v>
      </c>
      <c r="N60" s="163"/>
      <c r="O60" s="163"/>
      <c r="P60" s="163">
        <v>0</v>
      </c>
      <c r="Q60" s="124">
        <f t="shared" si="1"/>
        <v>-17668.400000000001</v>
      </c>
      <c r="R60" s="154"/>
      <c r="S60" s="73">
        <f t="shared" si="6"/>
        <v>-2015.9644400000002</v>
      </c>
    </row>
    <row r="61" spans="1:19" ht="15">
      <c r="A61" s="161" t="s">
        <v>296</v>
      </c>
      <c r="B61" s="161" t="s">
        <v>349</v>
      </c>
      <c r="C61" s="161" t="s">
        <v>250</v>
      </c>
      <c r="D61" s="162" t="s">
        <v>327</v>
      </c>
      <c r="E61" s="162" t="s">
        <v>328</v>
      </c>
      <c r="F61" s="162" t="s">
        <v>301</v>
      </c>
      <c r="G61" s="161">
        <v>101002</v>
      </c>
      <c r="H61" s="161" t="s">
        <v>335</v>
      </c>
      <c r="I61" s="161">
        <v>201</v>
      </c>
      <c r="J61" s="161" t="s">
        <v>336</v>
      </c>
      <c r="K61" s="161" t="s">
        <v>304</v>
      </c>
      <c r="L61" s="162" t="s">
        <v>305</v>
      </c>
      <c r="M61" s="163">
        <v>19406.32</v>
      </c>
      <c r="N61" s="163"/>
      <c r="O61" s="163"/>
      <c r="P61" s="163">
        <v>0</v>
      </c>
      <c r="Q61" s="124">
        <f t="shared" si="1"/>
        <v>19406.32</v>
      </c>
      <c r="R61" s="154"/>
      <c r="S61" s="73">
        <f t="shared" si="6"/>
        <v>2214.2611120000001</v>
      </c>
    </row>
    <row r="62" spans="1:19" ht="15">
      <c r="A62" s="161" t="s">
        <v>296</v>
      </c>
      <c r="B62" s="161" t="s">
        <v>349</v>
      </c>
      <c r="C62" s="161" t="s">
        <v>250</v>
      </c>
      <c r="D62" s="162" t="s">
        <v>327</v>
      </c>
      <c r="E62" s="162" t="s">
        <v>328</v>
      </c>
      <c r="F62" s="162" t="s">
        <v>301</v>
      </c>
      <c r="G62" s="161">
        <v>101039</v>
      </c>
      <c r="H62" s="161" t="s">
        <v>312</v>
      </c>
      <c r="I62" s="161">
        <v>201</v>
      </c>
      <c r="J62" s="161" t="s">
        <v>304</v>
      </c>
      <c r="K62" s="161" t="s">
        <v>304</v>
      </c>
      <c r="L62" s="162" t="s">
        <v>305</v>
      </c>
      <c r="M62" s="163">
        <v>116042.14</v>
      </c>
      <c r="N62" s="163"/>
      <c r="O62" s="163"/>
      <c r="P62" s="163">
        <v>8000</v>
      </c>
      <c r="Q62" s="124">
        <f t="shared" si="1"/>
        <v>108042.14</v>
      </c>
      <c r="R62" s="154"/>
      <c r="S62" s="73">
        <f t="shared" si="6"/>
        <v>13240.408174</v>
      </c>
    </row>
    <row r="63" spans="1:19" ht="15">
      <c r="A63" s="161" t="s">
        <v>296</v>
      </c>
      <c r="B63" s="161" t="s">
        <v>349</v>
      </c>
      <c r="C63" s="161" t="s">
        <v>250</v>
      </c>
      <c r="D63" s="162" t="s">
        <v>327</v>
      </c>
      <c r="E63" s="162" t="s">
        <v>328</v>
      </c>
      <c r="F63" s="162" t="s">
        <v>301</v>
      </c>
      <c r="G63" s="161">
        <v>101039</v>
      </c>
      <c r="H63" s="161" t="s">
        <v>312</v>
      </c>
      <c r="I63" s="161">
        <v>201</v>
      </c>
      <c r="J63" s="161" t="s">
        <v>350</v>
      </c>
      <c r="K63" s="161" t="s">
        <v>304</v>
      </c>
      <c r="L63" s="162" t="s">
        <v>305</v>
      </c>
      <c r="M63" s="163">
        <v>32393.759999999998</v>
      </c>
      <c r="N63" s="163"/>
      <c r="O63" s="163"/>
      <c r="P63" s="163">
        <v>32000</v>
      </c>
      <c r="Q63" s="124">
        <f t="shared" si="1"/>
        <v>393.7599999999984</v>
      </c>
      <c r="R63" s="154"/>
      <c r="S63" s="73">
        <f t="shared" si="6"/>
        <v>3696.1280160000001</v>
      </c>
    </row>
    <row r="64" spans="1:19" ht="15">
      <c r="A64" s="161" t="s">
        <v>296</v>
      </c>
      <c r="B64" s="161" t="s">
        <v>349</v>
      </c>
      <c r="C64" s="161" t="s">
        <v>250</v>
      </c>
      <c r="D64" s="162" t="s">
        <v>327</v>
      </c>
      <c r="E64" s="162" t="s">
        <v>328</v>
      </c>
      <c r="F64" s="162" t="s">
        <v>301</v>
      </c>
      <c r="G64" s="161">
        <v>102002</v>
      </c>
      <c r="H64" s="161" t="s">
        <v>338</v>
      </c>
      <c r="I64" s="161">
        <v>201</v>
      </c>
      <c r="J64" s="161" t="s">
        <v>304</v>
      </c>
      <c r="K64" s="161" t="s">
        <v>304</v>
      </c>
      <c r="L64" s="162" t="s">
        <v>305</v>
      </c>
      <c r="M64" s="163">
        <v>33256.120000000003</v>
      </c>
      <c r="N64" s="163"/>
      <c r="O64" s="163"/>
      <c r="P64" s="163">
        <v>0</v>
      </c>
      <c r="Q64" s="124">
        <f t="shared" si="1"/>
        <v>33256.120000000003</v>
      </c>
      <c r="R64" s="154"/>
      <c r="S64" s="73">
        <f t="shared" si="6"/>
        <v>3794.5232920000008</v>
      </c>
    </row>
    <row r="65" spans="1:19" ht="15">
      <c r="A65" s="161" t="s">
        <v>296</v>
      </c>
      <c r="B65" s="161" t="s">
        <v>349</v>
      </c>
      <c r="C65" s="161" t="s">
        <v>250</v>
      </c>
      <c r="D65" s="162" t="s">
        <v>327</v>
      </c>
      <c r="E65" s="162" t="s">
        <v>328</v>
      </c>
      <c r="F65" s="162" t="s">
        <v>301</v>
      </c>
      <c r="G65" s="161">
        <v>102002</v>
      </c>
      <c r="H65" s="161" t="s">
        <v>338</v>
      </c>
      <c r="I65" s="161">
        <v>201</v>
      </c>
      <c r="J65" s="161" t="s">
        <v>336</v>
      </c>
      <c r="K65" s="161" t="s">
        <v>304</v>
      </c>
      <c r="L65" s="162" t="s">
        <v>305</v>
      </c>
      <c r="M65" s="163">
        <v>1647.67</v>
      </c>
      <c r="N65" s="163"/>
      <c r="O65" s="163"/>
      <c r="P65" s="163">
        <v>0</v>
      </c>
      <c r="Q65" s="124">
        <f t="shared" si="1"/>
        <v>1647.67</v>
      </c>
      <c r="R65" s="154"/>
      <c r="S65" s="73">
        <f t="shared" si="6"/>
        <v>187.99914700000002</v>
      </c>
    </row>
    <row r="66" spans="1:19" ht="15">
      <c r="A66" s="161" t="s">
        <v>296</v>
      </c>
      <c r="B66" s="161" t="s">
        <v>349</v>
      </c>
      <c r="C66" s="161" t="s">
        <v>250</v>
      </c>
      <c r="D66" s="162" t="s">
        <v>327</v>
      </c>
      <c r="E66" s="162" t="s">
        <v>328</v>
      </c>
      <c r="F66" s="162" t="s">
        <v>301</v>
      </c>
      <c r="G66" s="161">
        <v>102003</v>
      </c>
      <c r="H66" s="161" t="s">
        <v>339</v>
      </c>
      <c r="I66" s="161">
        <v>201</v>
      </c>
      <c r="J66" s="161" t="s">
        <v>304</v>
      </c>
      <c r="K66" s="161" t="s">
        <v>304</v>
      </c>
      <c r="L66" s="162" t="s">
        <v>305</v>
      </c>
      <c r="M66" s="163">
        <v>130345.48</v>
      </c>
      <c r="N66" s="163"/>
      <c r="O66" s="163"/>
      <c r="P66" s="163">
        <v>143000</v>
      </c>
      <c r="Q66" s="124">
        <f t="shared" si="1"/>
        <v>-12654.520000000004</v>
      </c>
      <c r="R66" s="154"/>
      <c r="S66" s="73">
        <f t="shared" si="6"/>
        <v>14872.419268000001</v>
      </c>
    </row>
    <row r="67" spans="1:19" ht="15">
      <c r="A67" s="161" t="s">
        <v>296</v>
      </c>
      <c r="B67" s="161" t="s">
        <v>349</v>
      </c>
      <c r="C67" s="161" t="s">
        <v>250</v>
      </c>
      <c r="D67" s="162" t="s">
        <v>327</v>
      </c>
      <c r="E67" s="162" t="s">
        <v>328</v>
      </c>
      <c r="F67" s="162" t="s">
        <v>301</v>
      </c>
      <c r="G67" s="161">
        <v>102003</v>
      </c>
      <c r="H67" s="161" t="s">
        <v>339</v>
      </c>
      <c r="I67" s="161">
        <v>201</v>
      </c>
      <c r="J67" s="161" t="s">
        <v>336</v>
      </c>
      <c r="K67" s="161" t="s">
        <v>304</v>
      </c>
      <c r="L67" s="162" t="s">
        <v>305</v>
      </c>
      <c r="M67" s="163">
        <v>6215.97</v>
      </c>
      <c r="N67" s="163"/>
      <c r="O67" s="163"/>
      <c r="P67" s="163">
        <v>0</v>
      </c>
      <c r="Q67" s="124">
        <f t="shared" si="1"/>
        <v>6215.97</v>
      </c>
      <c r="R67" s="154"/>
      <c r="S67" s="73">
        <f t="shared" si="6"/>
        <v>709.24217700000008</v>
      </c>
    </row>
    <row r="68" spans="1:19" ht="15">
      <c r="A68" s="161" t="s">
        <v>296</v>
      </c>
      <c r="B68" s="161" t="s">
        <v>349</v>
      </c>
      <c r="C68" s="161" t="s">
        <v>250</v>
      </c>
      <c r="D68" s="162" t="s">
        <v>327</v>
      </c>
      <c r="E68" s="162" t="s">
        <v>328</v>
      </c>
      <c r="F68" s="162" t="s">
        <v>301</v>
      </c>
      <c r="G68" s="161">
        <v>102005</v>
      </c>
      <c r="H68" s="161" t="s">
        <v>340</v>
      </c>
      <c r="I68" s="161">
        <v>201</v>
      </c>
      <c r="J68" s="161" t="s">
        <v>304</v>
      </c>
      <c r="K68" s="161" t="s">
        <v>304</v>
      </c>
      <c r="L68" s="162" t="s">
        <v>305</v>
      </c>
      <c r="M68" s="163">
        <v>29855.83</v>
      </c>
      <c r="N68" s="163"/>
      <c r="O68" s="163"/>
      <c r="P68" s="163">
        <v>0</v>
      </c>
      <c r="Q68" s="124">
        <f t="shared" si="1"/>
        <v>29855.83</v>
      </c>
      <c r="R68" s="154"/>
      <c r="S68" s="73">
        <f t="shared" si="6"/>
        <v>3406.5502030000007</v>
      </c>
    </row>
    <row r="69" spans="1:19" ht="15">
      <c r="A69" s="161" t="s">
        <v>296</v>
      </c>
      <c r="B69" s="161" t="s">
        <v>349</v>
      </c>
      <c r="C69" s="161" t="s">
        <v>250</v>
      </c>
      <c r="D69" s="162" t="s">
        <v>327</v>
      </c>
      <c r="E69" s="162" t="s">
        <v>328</v>
      </c>
      <c r="F69" s="162" t="s">
        <v>301</v>
      </c>
      <c r="G69" s="161">
        <v>102062</v>
      </c>
      <c r="H69" s="161" t="s">
        <v>341</v>
      </c>
      <c r="I69" s="161">
        <v>201</v>
      </c>
      <c r="J69" s="161" t="s">
        <v>304</v>
      </c>
      <c r="K69" s="161" t="s">
        <v>304</v>
      </c>
      <c r="L69" s="162" t="s">
        <v>305</v>
      </c>
      <c r="M69" s="163">
        <v>1299.08</v>
      </c>
      <c r="N69" s="163"/>
      <c r="O69" s="163"/>
      <c r="P69" s="163">
        <v>0</v>
      </c>
      <c r="Q69" s="124">
        <f t="shared" si="1"/>
        <v>1299.08</v>
      </c>
      <c r="R69" s="154"/>
      <c r="S69" s="73">
        <f t="shared" si="6"/>
        <v>148.22502799999998</v>
      </c>
    </row>
    <row r="70" spans="1:19" ht="15">
      <c r="A70" s="161" t="s">
        <v>296</v>
      </c>
      <c r="B70" s="161" t="s">
        <v>349</v>
      </c>
      <c r="C70" s="161" t="s">
        <v>250</v>
      </c>
      <c r="D70" s="162" t="s">
        <v>327</v>
      </c>
      <c r="E70" s="162" t="s">
        <v>328</v>
      </c>
      <c r="F70" s="162" t="s">
        <v>301</v>
      </c>
      <c r="G70" s="161">
        <v>103001</v>
      </c>
      <c r="H70" s="161" t="s">
        <v>342</v>
      </c>
      <c r="I70" s="161">
        <v>201</v>
      </c>
      <c r="J70" s="161" t="s">
        <v>304</v>
      </c>
      <c r="K70" s="161" t="s">
        <v>304</v>
      </c>
      <c r="L70" s="162" t="s">
        <v>305</v>
      </c>
      <c r="M70" s="163">
        <v>28727.18</v>
      </c>
      <c r="N70" s="163"/>
      <c r="O70" s="163"/>
      <c r="P70" s="163">
        <v>0</v>
      </c>
      <c r="Q70" s="124">
        <f t="shared" si="1"/>
        <v>28727.18</v>
      </c>
      <c r="R70" s="154"/>
      <c r="S70" s="73">
        <f t="shared" si="6"/>
        <v>3277.7712380000003</v>
      </c>
    </row>
    <row r="71" spans="1:19" ht="15">
      <c r="A71" s="161" t="s">
        <v>296</v>
      </c>
      <c r="B71" s="161" t="s">
        <v>349</v>
      </c>
      <c r="C71" s="161" t="s">
        <v>250</v>
      </c>
      <c r="D71" s="162" t="s">
        <v>327</v>
      </c>
      <c r="E71" s="162" t="s">
        <v>328</v>
      </c>
      <c r="F71" s="162" t="s">
        <v>301</v>
      </c>
      <c r="G71" s="161">
        <v>103001</v>
      </c>
      <c r="H71" s="161" t="s">
        <v>342</v>
      </c>
      <c r="I71" s="161">
        <v>201</v>
      </c>
      <c r="J71" s="161" t="s">
        <v>351</v>
      </c>
      <c r="K71" s="161" t="s">
        <v>304</v>
      </c>
      <c r="L71" s="162" t="s">
        <v>305</v>
      </c>
      <c r="M71" s="163">
        <v>4927.79</v>
      </c>
      <c r="N71" s="163"/>
      <c r="O71" s="163"/>
      <c r="P71" s="163">
        <v>0</v>
      </c>
      <c r="Q71" s="124">
        <f t="shared" si="1"/>
        <v>4927.79</v>
      </c>
      <c r="R71" s="154"/>
      <c r="S71" s="73">
        <f t="shared" si="6"/>
        <v>562.26083900000003</v>
      </c>
    </row>
    <row r="72" spans="1:19" ht="15">
      <c r="A72" s="161" t="s">
        <v>296</v>
      </c>
      <c r="B72" t="s">
        <v>349</v>
      </c>
      <c r="C72" t="s">
        <v>250</v>
      </c>
      <c r="D72" t="s">
        <v>327</v>
      </c>
      <c r="E72" t="s">
        <v>328</v>
      </c>
      <c r="F72" t="s">
        <v>301</v>
      </c>
      <c r="G72" s="123">
        <v>103001</v>
      </c>
      <c r="H72" t="s">
        <v>342</v>
      </c>
      <c r="I72">
        <v>201</v>
      </c>
      <c r="J72" t="s">
        <v>336</v>
      </c>
      <c r="K72" t="s">
        <v>304</v>
      </c>
      <c r="L72" t="s">
        <v>305</v>
      </c>
      <c r="M72" s="124">
        <v>1427.98</v>
      </c>
      <c r="N72" s="124"/>
      <c r="O72" s="124"/>
      <c r="P72" s="124">
        <v>0</v>
      </c>
      <c r="Q72" s="124">
        <f t="shared" ref="Q72:Q94" si="7">M72-P72</f>
        <v>1427.98</v>
      </c>
      <c r="R72" s="154"/>
      <c r="S72" s="73">
        <f t="shared" si="6"/>
        <v>162.93251800000002</v>
      </c>
    </row>
    <row r="73" spans="1:19" ht="15">
      <c r="A73" s="161" t="s">
        <v>296</v>
      </c>
      <c r="B73" t="s">
        <v>349</v>
      </c>
      <c r="C73" t="s">
        <v>250</v>
      </c>
      <c r="D73" t="s">
        <v>327</v>
      </c>
      <c r="E73" t="s">
        <v>328</v>
      </c>
      <c r="F73" t="s">
        <v>301</v>
      </c>
      <c r="G73" s="123">
        <v>103001</v>
      </c>
      <c r="H73" t="s">
        <v>342</v>
      </c>
      <c r="I73">
        <v>201</v>
      </c>
      <c r="J73" t="s">
        <v>352</v>
      </c>
      <c r="K73" t="s">
        <v>304</v>
      </c>
      <c r="L73" t="s">
        <v>305</v>
      </c>
      <c r="M73" s="124">
        <v>16220.96</v>
      </c>
      <c r="N73" s="124"/>
      <c r="O73" s="124"/>
      <c r="P73" s="124">
        <v>0</v>
      </c>
      <c r="Q73" s="124">
        <f t="shared" si="7"/>
        <v>16220.96</v>
      </c>
      <c r="R73" s="154"/>
      <c r="S73" s="73">
        <f t="shared" si="6"/>
        <v>1850.8115359999999</v>
      </c>
    </row>
    <row r="74" spans="1:19" ht="15">
      <c r="A74" s="161" t="s">
        <v>296</v>
      </c>
      <c r="B74" t="s">
        <v>349</v>
      </c>
      <c r="C74" t="s">
        <v>250</v>
      </c>
      <c r="D74" t="s">
        <v>327</v>
      </c>
      <c r="E74" t="s">
        <v>328</v>
      </c>
      <c r="F74" t="s">
        <v>301</v>
      </c>
      <c r="G74" s="123">
        <v>103062</v>
      </c>
      <c r="H74" t="s">
        <v>343</v>
      </c>
      <c r="I74">
        <v>201</v>
      </c>
      <c r="J74" t="s">
        <v>304</v>
      </c>
      <c r="K74" t="s">
        <v>304</v>
      </c>
      <c r="L74" t="s">
        <v>305</v>
      </c>
      <c r="M74" s="124">
        <v>860.16</v>
      </c>
      <c r="N74" s="124"/>
      <c r="O74" s="124"/>
      <c r="P74" s="124">
        <v>0</v>
      </c>
      <c r="Q74" s="124">
        <f t="shared" si="7"/>
        <v>860.16</v>
      </c>
      <c r="R74" s="154"/>
      <c r="S74" s="73">
        <f t="shared" si="6"/>
        <v>98.144256000000013</v>
      </c>
    </row>
    <row r="75" spans="1:19" ht="15">
      <c r="A75" s="161" t="s">
        <v>296</v>
      </c>
      <c r="B75" t="s">
        <v>349</v>
      </c>
      <c r="C75" t="s">
        <v>250</v>
      </c>
      <c r="D75" t="s">
        <v>327</v>
      </c>
      <c r="E75" t="s">
        <v>328</v>
      </c>
      <c r="F75" t="s">
        <v>301</v>
      </c>
      <c r="G75" s="123">
        <v>103069</v>
      </c>
      <c r="H75" t="s">
        <v>344</v>
      </c>
      <c r="I75">
        <v>201</v>
      </c>
      <c r="J75" t="s">
        <v>304</v>
      </c>
      <c r="K75" t="s">
        <v>304</v>
      </c>
      <c r="L75" t="s">
        <v>305</v>
      </c>
      <c r="M75" s="124">
        <v>3744.06</v>
      </c>
      <c r="N75" s="124"/>
      <c r="O75" s="124"/>
      <c r="P75" s="124">
        <v>0</v>
      </c>
      <c r="Q75" s="124">
        <f t="shared" si="7"/>
        <v>3744.06</v>
      </c>
      <c r="R75" s="154"/>
      <c r="S75" s="73">
        <f t="shared" si="6"/>
        <v>427.19724600000001</v>
      </c>
    </row>
    <row r="76" spans="1:19" ht="15">
      <c r="A76" s="161" t="s">
        <v>296</v>
      </c>
      <c r="B76" t="s">
        <v>349</v>
      </c>
      <c r="C76" t="s">
        <v>250</v>
      </c>
      <c r="D76" t="s">
        <v>327</v>
      </c>
      <c r="E76" t="s">
        <v>328</v>
      </c>
      <c r="F76" t="s">
        <v>301</v>
      </c>
      <c r="G76" s="123">
        <v>103069</v>
      </c>
      <c r="H76" t="s">
        <v>344</v>
      </c>
      <c r="I76">
        <v>201</v>
      </c>
      <c r="J76" t="s">
        <v>351</v>
      </c>
      <c r="K76" t="s">
        <v>304</v>
      </c>
      <c r="L76" t="s">
        <v>305</v>
      </c>
      <c r="M76" s="124">
        <v>1290.24</v>
      </c>
      <c r="N76" s="124"/>
      <c r="O76" s="124"/>
      <c r="P76" s="124">
        <v>0</v>
      </c>
      <c r="Q76" s="124">
        <f t="shared" si="7"/>
        <v>1290.24</v>
      </c>
      <c r="R76" s="154"/>
      <c r="S76" s="73">
        <f t="shared" si="6"/>
        <v>147.21638400000001</v>
      </c>
    </row>
    <row r="77" spans="1:19" ht="15">
      <c r="A77" s="161" t="s">
        <v>296</v>
      </c>
      <c r="B77" t="s">
        <v>349</v>
      </c>
      <c r="C77" t="s">
        <v>250</v>
      </c>
      <c r="D77" t="s">
        <v>327</v>
      </c>
      <c r="E77" t="s">
        <v>328</v>
      </c>
      <c r="F77" t="s">
        <v>301</v>
      </c>
      <c r="G77" s="123">
        <v>104000</v>
      </c>
      <c r="H77" t="s">
        <v>345</v>
      </c>
      <c r="I77">
        <v>201</v>
      </c>
      <c r="J77" t="s">
        <v>304</v>
      </c>
      <c r="K77" t="s">
        <v>304</v>
      </c>
      <c r="L77" t="s">
        <v>305</v>
      </c>
      <c r="M77" s="124">
        <v>35924.68</v>
      </c>
      <c r="N77" s="124"/>
      <c r="O77" s="124"/>
      <c r="P77" s="124">
        <v>45000</v>
      </c>
      <c r="Q77" s="124">
        <f t="shared" si="7"/>
        <v>-9075.32</v>
      </c>
      <c r="R77" s="154"/>
      <c r="S77" s="73">
        <f t="shared" si="6"/>
        <v>4099.0059880000008</v>
      </c>
    </row>
    <row r="78" spans="1:19" ht="15">
      <c r="A78" s="161" t="s">
        <v>296</v>
      </c>
      <c r="B78" t="s">
        <v>349</v>
      </c>
      <c r="C78" t="s">
        <v>250</v>
      </c>
      <c r="D78" t="s">
        <v>327</v>
      </c>
      <c r="E78" t="s">
        <v>328</v>
      </c>
      <c r="F78" t="s">
        <v>301</v>
      </c>
      <c r="G78" s="123">
        <v>105003</v>
      </c>
      <c r="H78" t="s">
        <v>346</v>
      </c>
      <c r="I78">
        <v>201</v>
      </c>
      <c r="J78" t="s">
        <v>304</v>
      </c>
      <c r="K78" t="s">
        <v>304</v>
      </c>
      <c r="L78" t="s">
        <v>305</v>
      </c>
      <c r="M78" s="124">
        <v>342635.85</v>
      </c>
      <c r="N78" s="124"/>
      <c r="O78" s="124"/>
      <c r="P78" s="124">
        <v>0</v>
      </c>
      <c r="Q78" s="124">
        <f t="shared" si="7"/>
        <v>342635.85</v>
      </c>
      <c r="R78" s="154"/>
      <c r="S78" s="73">
        <f t="shared" si="6"/>
        <v>39094.750484999997</v>
      </c>
    </row>
    <row r="79" spans="1:19" ht="15">
      <c r="A79" s="161" t="s">
        <v>296</v>
      </c>
      <c r="B79" t="s">
        <v>349</v>
      </c>
      <c r="C79" t="s">
        <v>250</v>
      </c>
      <c r="D79" t="s">
        <v>327</v>
      </c>
      <c r="E79" t="s">
        <v>328</v>
      </c>
      <c r="F79" t="s">
        <v>301</v>
      </c>
      <c r="G79" s="123">
        <v>105010</v>
      </c>
      <c r="H79" t="s">
        <v>347</v>
      </c>
      <c r="I79">
        <v>201</v>
      </c>
      <c r="J79" t="s">
        <v>304</v>
      </c>
      <c r="K79" t="s">
        <v>304</v>
      </c>
      <c r="L79" t="s">
        <v>305</v>
      </c>
      <c r="M79" s="124">
        <v>466.06</v>
      </c>
      <c r="N79" s="124"/>
      <c r="O79" s="124"/>
      <c r="P79" s="124">
        <v>0</v>
      </c>
      <c r="Q79" s="124">
        <f t="shared" si="7"/>
        <v>466.06</v>
      </c>
      <c r="R79" s="154"/>
      <c r="S79" s="73">
        <f t="shared" si="6"/>
        <v>53.177446000000003</v>
      </c>
    </row>
    <row r="80" spans="1:19" ht="15">
      <c r="A80" s="161" t="s">
        <v>296</v>
      </c>
      <c r="B80" t="s">
        <v>349</v>
      </c>
      <c r="C80" t="s">
        <v>250</v>
      </c>
      <c r="D80" t="s">
        <v>327</v>
      </c>
      <c r="E80" t="s">
        <v>328</v>
      </c>
      <c r="F80" t="s">
        <v>301</v>
      </c>
      <c r="G80" s="123">
        <v>105019</v>
      </c>
      <c r="H80" t="s">
        <v>348</v>
      </c>
      <c r="I80">
        <v>201</v>
      </c>
      <c r="J80" t="s">
        <v>304</v>
      </c>
      <c r="K80" t="s">
        <v>304</v>
      </c>
      <c r="L80" t="s">
        <v>305</v>
      </c>
      <c r="M80" s="124">
        <v>1299.22</v>
      </c>
      <c r="N80" s="124"/>
      <c r="O80" s="124"/>
      <c r="P80" s="124">
        <v>0</v>
      </c>
      <c r="Q80" s="124">
        <f t="shared" si="7"/>
        <v>1299.22</v>
      </c>
      <c r="R80" s="154"/>
      <c r="S80" s="73">
        <f t="shared" si="6"/>
        <v>148.24100200000001</v>
      </c>
    </row>
    <row r="81" spans="1:19" ht="15">
      <c r="A81" s="161" t="s">
        <v>296</v>
      </c>
      <c r="B81" t="s">
        <v>349</v>
      </c>
      <c r="C81" t="s">
        <v>250</v>
      </c>
      <c r="D81" t="s">
        <v>327</v>
      </c>
      <c r="E81" t="s">
        <v>328</v>
      </c>
      <c r="F81" t="s">
        <v>301</v>
      </c>
      <c r="G81" s="123">
        <v>105098</v>
      </c>
      <c r="H81" t="s">
        <v>302</v>
      </c>
      <c r="I81">
        <v>201</v>
      </c>
      <c r="J81" t="s">
        <v>331</v>
      </c>
      <c r="K81" t="s">
        <v>304</v>
      </c>
      <c r="L81" t="s">
        <v>305</v>
      </c>
      <c r="M81" s="124">
        <v>-4392</v>
      </c>
      <c r="N81" s="124"/>
      <c r="O81" s="124"/>
      <c r="P81" s="124">
        <v>0</v>
      </c>
      <c r="Q81" s="124">
        <f t="shared" si="7"/>
        <v>-4392</v>
      </c>
      <c r="R81" s="154"/>
      <c r="S81" s="73">
        <f t="shared" si="6"/>
        <v>-501.12720000000007</v>
      </c>
    </row>
    <row r="82" spans="1:19" ht="15">
      <c r="A82" s="161" t="s">
        <v>296</v>
      </c>
      <c r="B82" t="s">
        <v>349</v>
      </c>
      <c r="C82" t="s">
        <v>250</v>
      </c>
      <c r="D82" t="s">
        <v>327</v>
      </c>
      <c r="E82" t="s">
        <v>328</v>
      </c>
      <c r="F82" t="s">
        <v>301</v>
      </c>
      <c r="G82" s="123">
        <v>105099</v>
      </c>
      <c r="H82" t="s">
        <v>306</v>
      </c>
      <c r="I82">
        <v>201</v>
      </c>
      <c r="J82" t="s">
        <v>332</v>
      </c>
      <c r="K82" t="s">
        <v>304</v>
      </c>
      <c r="L82" t="s">
        <v>305</v>
      </c>
      <c r="M82" s="124">
        <v>4392</v>
      </c>
      <c r="N82" s="124"/>
      <c r="O82" s="124"/>
      <c r="P82" s="124">
        <v>0</v>
      </c>
      <c r="Q82" s="124">
        <f t="shared" si="7"/>
        <v>4392</v>
      </c>
      <c r="R82" s="154"/>
      <c r="S82" s="73">
        <f t="shared" si="6"/>
        <v>501.12720000000007</v>
      </c>
    </row>
    <row r="83" spans="1:19" ht="15">
      <c r="A83" s="161" t="s">
        <v>296</v>
      </c>
      <c r="B83" t="s">
        <v>349</v>
      </c>
      <c r="C83" t="s">
        <v>250</v>
      </c>
      <c r="D83" t="s">
        <v>327</v>
      </c>
      <c r="E83" t="s">
        <v>328</v>
      </c>
      <c r="F83" t="s">
        <v>301</v>
      </c>
      <c r="G83" s="235">
        <v>109001</v>
      </c>
      <c r="H83" t="s">
        <v>324</v>
      </c>
      <c r="I83">
        <v>201</v>
      </c>
      <c r="J83" t="s">
        <v>304</v>
      </c>
      <c r="K83" t="s">
        <v>304</v>
      </c>
      <c r="L83" t="s">
        <v>305</v>
      </c>
      <c r="M83" s="124">
        <v>524573.81000000006</v>
      </c>
      <c r="N83" s="124"/>
      <c r="O83" s="124"/>
      <c r="P83" s="124">
        <v>493000</v>
      </c>
      <c r="Q83" s="124">
        <f t="shared" si="7"/>
        <v>31573.810000000056</v>
      </c>
      <c r="R83" s="124">
        <f t="shared" ref="R83:R87" si="8">M83*-1.141</f>
        <v>-598538.71721000003</v>
      </c>
    </row>
    <row r="84" spans="1:19" ht="15">
      <c r="A84" s="161" t="s">
        <v>296</v>
      </c>
      <c r="B84" t="s">
        <v>349</v>
      </c>
      <c r="C84" t="s">
        <v>250</v>
      </c>
      <c r="D84" t="s">
        <v>327</v>
      </c>
      <c r="E84" t="s">
        <v>328</v>
      </c>
      <c r="F84" t="s">
        <v>301</v>
      </c>
      <c r="G84" s="235">
        <v>109001</v>
      </c>
      <c r="H84" t="s">
        <v>324</v>
      </c>
      <c r="I84">
        <v>201</v>
      </c>
      <c r="J84" t="s">
        <v>351</v>
      </c>
      <c r="K84" t="s">
        <v>304</v>
      </c>
      <c r="L84" t="s">
        <v>305</v>
      </c>
      <c r="M84" s="124">
        <v>466.93</v>
      </c>
      <c r="N84" s="124"/>
      <c r="O84" s="124"/>
      <c r="P84" s="124">
        <v>0</v>
      </c>
      <c r="Q84" s="124">
        <f t="shared" si="7"/>
        <v>466.93</v>
      </c>
      <c r="R84" s="124">
        <f t="shared" si="8"/>
        <v>-532.76713000000007</v>
      </c>
    </row>
    <row r="85" spans="1:19" ht="15">
      <c r="A85" s="161" t="s">
        <v>296</v>
      </c>
      <c r="B85" t="s">
        <v>349</v>
      </c>
      <c r="C85" t="s">
        <v>250</v>
      </c>
      <c r="D85" t="s">
        <v>327</v>
      </c>
      <c r="E85" t="s">
        <v>328</v>
      </c>
      <c r="F85" t="s">
        <v>301</v>
      </c>
      <c r="G85" s="235">
        <v>109001</v>
      </c>
      <c r="H85" t="s">
        <v>324</v>
      </c>
      <c r="I85">
        <v>201</v>
      </c>
      <c r="J85" t="s">
        <v>336</v>
      </c>
      <c r="K85" t="s">
        <v>304</v>
      </c>
      <c r="L85" t="s">
        <v>305</v>
      </c>
      <c r="M85" s="124">
        <v>2722.89</v>
      </c>
      <c r="N85" s="124"/>
      <c r="O85" s="124"/>
      <c r="P85" s="124">
        <v>0</v>
      </c>
      <c r="Q85" s="124">
        <f t="shared" si="7"/>
        <v>2722.89</v>
      </c>
      <c r="R85" s="124">
        <f t="shared" si="8"/>
        <v>-3106.8174899999999</v>
      </c>
    </row>
    <row r="86" spans="1:19" ht="15">
      <c r="A86" s="161" t="s">
        <v>296</v>
      </c>
      <c r="B86" t="s">
        <v>349</v>
      </c>
      <c r="C86" t="s">
        <v>250</v>
      </c>
      <c r="D86" t="s">
        <v>327</v>
      </c>
      <c r="E86" t="s">
        <v>328</v>
      </c>
      <c r="F86" t="s">
        <v>301</v>
      </c>
      <c r="G86" s="235">
        <v>109001</v>
      </c>
      <c r="H86" t="s">
        <v>324</v>
      </c>
      <c r="I86">
        <v>201</v>
      </c>
      <c r="J86" t="s">
        <v>350</v>
      </c>
      <c r="K86" t="s">
        <v>304</v>
      </c>
      <c r="L86" t="s">
        <v>305</v>
      </c>
      <c r="M86" s="124">
        <v>3007.92</v>
      </c>
      <c r="N86" s="124"/>
      <c r="O86" s="124"/>
      <c r="P86" s="124">
        <v>3000</v>
      </c>
      <c r="Q86" s="124">
        <f t="shared" si="7"/>
        <v>7.9200000000000728</v>
      </c>
      <c r="R86" s="124">
        <f t="shared" si="8"/>
        <v>-3432.0367200000001</v>
      </c>
    </row>
    <row r="87" spans="1:19" ht="15">
      <c r="A87" s="161" t="s">
        <v>296</v>
      </c>
      <c r="B87" t="s">
        <v>349</v>
      </c>
      <c r="C87" t="s">
        <v>250</v>
      </c>
      <c r="D87" t="s">
        <v>327</v>
      </c>
      <c r="E87" t="s">
        <v>328</v>
      </c>
      <c r="F87" t="s">
        <v>301</v>
      </c>
      <c r="G87" s="235">
        <v>109001</v>
      </c>
      <c r="H87" t="s">
        <v>324</v>
      </c>
      <c r="I87">
        <v>201</v>
      </c>
      <c r="J87" t="s">
        <v>352</v>
      </c>
      <c r="K87" t="s">
        <v>304</v>
      </c>
      <c r="L87" t="s">
        <v>305</v>
      </c>
      <c r="M87" s="124">
        <v>1540.01</v>
      </c>
      <c r="N87" s="124"/>
      <c r="O87" s="124"/>
      <c r="P87" s="124">
        <v>0</v>
      </c>
      <c r="Q87" s="124">
        <f t="shared" si="7"/>
        <v>1540.01</v>
      </c>
      <c r="R87" s="124">
        <f t="shared" si="8"/>
        <v>-1757.1514099999999</v>
      </c>
    </row>
    <row r="88" spans="1:19" ht="15">
      <c r="A88" s="161" t="s">
        <v>296</v>
      </c>
      <c r="B88" t="s">
        <v>349</v>
      </c>
      <c r="C88" t="s">
        <v>250</v>
      </c>
      <c r="D88" t="s">
        <v>327</v>
      </c>
      <c r="E88" t="s">
        <v>328</v>
      </c>
      <c r="F88" t="s">
        <v>301</v>
      </c>
      <c r="G88" s="235">
        <v>109901</v>
      </c>
      <c r="H88" t="s">
        <v>309</v>
      </c>
      <c r="I88">
        <v>201</v>
      </c>
      <c r="J88" t="s">
        <v>304</v>
      </c>
      <c r="K88" t="s">
        <v>304</v>
      </c>
      <c r="L88" t="s">
        <v>305</v>
      </c>
      <c r="M88" s="124">
        <v>837185.21</v>
      </c>
      <c r="N88" s="124"/>
      <c r="O88" s="124"/>
      <c r="P88" s="124">
        <v>810000</v>
      </c>
      <c r="Q88" s="124">
        <f t="shared" si="7"/>
        <v>27185.209999999963</v>
      </c>
      <c r="R88" s="154"/>
    </row>
    <row r="89" spans="1:19" ht="15">
      <c r="A89" s="161" t="s">
        <v>296</v>
      </c>
      <c r="B89" t="s">
        <v>349</v>
      </c>
      <c r="C89" t="s">
        <v>250</v>
      </c>
      <c r="D89" t="s">
        <v>327</v>
      </c>
      <c r="E89" t="s">
        <v>328</v>
      </c>
      <c r="F89" t="s">
        <v>301</v>
      </c>
      <c r="G89" s="235">
        <v>109901</v>
      </c>
      <c r="H89" t="s">
        <v>309</v>
      </c>
      <c r="I89">
        <v>201</v>
      </c>
      <c r="J89" t="s">
        <v>304</v>
      </c>
      <c r="K89" t="s">
        <v>353</v>
      </c>
      <c r="L89" t="s">
        <v>305</v>
      </c>
      <c r="M89" s="124">
        <v>0.87</v>
      </c>
      <c r="N89" s="124"/>
      <c r="O89" s="124"/>
      <c r="P89" s="124">
        <v>0</v>
      </c>
      <c r="Q89" s="124">
        <f t="shared" si="7"/>
        <v>0.87</v>
      </c>
      <c r="R89" s="154"/>
    </row>
    <row r="90" spans="1:19" ht="15">
      <c r="A90" s="161" t="s">
        <v>296</v>
      </c>
      <c r="B90" t="s">
        <v>349</v>
      </c>
      <c r="C90" t="s">
        <v>250</v>
      </c>
      <c r="D90" t="s">
        <v>327</v>
      </c>
      <c r="E90" t="s">
        <v>328</v>
      </c>
      <c r="F90" t="s">
        <v>301</v>
      </c>
      <c r="G90" s="235">
        <v>109901</v>
      </c>
      <c r="H90" t="s">
        <v>309</v>
      </c>
      <c r="I90">
        <v>201</v>
      </c>
      <c r="J90" t="s">
        <v>332</v>
      </c>
      <c r="K90" t="s">
        <v>304</v>
      </c>
      <c r="L90" t="s">
        <v>305</v>
      </c>
      <c r="M90" s="124">
        <v>619.32000000000005</v>
      </c>
      <c r="N90" s="124"/>
      <c r="O90" s="124"/>
      <c r="P90" s="124">
        <v>0</v>
      </c>
      <c r="Q90" s="124">
        <f t="shared" si="7"/>
        <v>619.32000000000005</v>
      </c>
      <c r="R90" s="154"/>
    </row>
    <row r="91" spans="1:19" ht="15">
      <c r="A91" s="161" t="s">
        <v>296</v>
      </c>
      <c r="B91" t="s">
        <v>349</v>
      </c>
      <c r="C91" t="s">
        <v>250</v>
      </c>
      <c r="D91" t="s">
        <v>327</v>
      </c>
      <c r="E91" t="s">
        <v>328</v>
      </c>
      <c r="F91" t="s">
        <v>301</v>
      </c>
      <c r="G91" s="235">
        <v>109901</v>
      </c>
      <c r="H91" t="s">
        <v>309</v>
      </c>
      <c r="I91">
        <v>201</v>
      </c>
      <c r="J91" t="s">
        <v>351</v>
      </c>
      <c r="K91" t="s">
        <v>304</v>
      </c>
      <c r="L91" t="s">
        <v>305</v>
      </c>
      <c r="M91" s="124">
        <v>942.58</v>
      </c>
      <c r="N91" s="124"/>
      <c r="O91" s="124"/>
      <c r="P91" s="124">
        <v>0</v>
      </c>
      <c r="Q91" s="124">
        <f t="shared" si="7"/>
        <v>942.58</v>
      </c>
      <c r="R91" s="154"/>
    </row>
    <row r="92" spans="1:19" ht="15">
      <c r="A92" s="161" t="s">
        <v>296</v>
      </c>
      <c r="B92" t="s">
        <v>349</v>
      </c>
      <c r="C92" t="s">
        <v>250</v>
      </c>
      <c r="D92" t="s">
        <v>327</v>
      </c>
      <c r="E92" t="s">
        <v>328</v>
      </c>
      <c r="F92" t="s">
        <v>301</v>
      </c>
      <c r="G92" s="235">
        <v>109901</v>
      </c>
      <c r="H92" t="s">
        <v>309</v>
      </c>
      <c r="I92">
        <v>201</v>
      </c>
      <c r="J92" t="s">
        <v>336</v>
      </c>
      <c r="K92" t="s">
        <v>304</v>
      </c>
      <c r="L92" t="s">
        <v>305</v>
      </c>
      <c r="M92" s="124">
        <v>4430.3100000000004</v>
      </c>
      <c r="N92" s="124"/>
      <c r="O92" s="124"/>
      <c r="P92" s="124">
        <v>0</v>
      </c>
      <c r="Q92" s="124">
        <f t="shared" si="7"/>
        <v>4430.3100000000004</v>
      </c>
      <c r="R92" s="154"/>
    </row>
    <row r="93" spans="1:19" ht="15">
      <c r="A93" s="161" t="s">
        <v>296</v>
      </c>
      <c r="B93" t="s">
        <v>349</v>
      </c>
      <c r="C93" t="s">
        <v>250</v>
      </c>
      <c r="D93" t="s">
        <v>327</v>
      </c>
      <c r="E93" t="s">
        <v>328</v>
      </c>
      <c r="F93" t="s">
        <v>301</v>
      </c>
      <c r="G93" s="235">
        <v>109901</v>
      </c>
      <c r="H93" t="s">
        <v>309</v>
      </c>
      <c r="I93">
        <v>201</v>
      </c>
      <c r="J93" t="s">
        <v>350</v>
      </c>
      <c r="K93" t="s">
        <v>304</v>
      </c>
      <c r="L93" t="s">
        <v>305</v>
      </c>
      <c r="M93" s="124">
        <v>4991.62</v>
      </c>
      <c r="N93" s="124"/>
      <c r="O93" s="124"/>
      <c r="P93" s="124">
        <v>5000</v>
      </c>
      <c r="Q93" s="124">
        <f t="shared" si="7"/>
        <v>-8.3800000000001091</v>
      </c>
      <c r="R93" s="154"/>
    </row>
    <row r="94" spans="1:19" ht="15">
      <c r="A94" s="161" t="s">
        <v>296</v>
      </c>
      <c r="B94" t="s">
        <v>349</v>
      </c>
      <c r="C94" t="s">
        <v>250</v>
      </c>
      <c r="D94" t="s">
        <v>327</v>
      </c>
      <c r="E94" t="s">
        <v>328</v>
      </c>
      <c r="F94" t="s">
        <v>301</v>
      </c>
      <c r="G94" s="213">
        <v>109901</v>
      </c>
      <c r="H94" t="s">
        <v>309</v>
      </c>
      <c r="I94">
        <v>201</v>
      </c>
      <c r="J94" t="s">
        <v>352</v>
      </c>
      <c r="K94" t="s">
        <v>304</v>
      </c>
      <c r="L94" t="s">
        <v>305</v>
      </c>
      <c r="M94">
        <v>2504.29</v>
      </c>
      <c r="P94">
        <v>0</v>
      </c>
      <c r="Q94" s="124">
        <f t="shared" si="7"/>
        <v>2504.29</v>
      </c>
      <c r="R94" s="154"/>
    </row>
    <row r="95" spans="1:19" ht="15">
      <c r="A95" s="161" t="s">
        <v>296</v>
      </c>
      <c r="B95" t="s">
        <v>354</v>
      </c>
      <c r="C95" t="s">
        <v>252</v>
      </c>
      <c r="D95" t="s">
        <v>327</v>
      </c>
      <c r="E95" t="s">
        <v>328</v>
      </c>
      <c r="F95" t="s">
        <v>301</v>
      </c>
      <c r="G95">
        <v>101001</v>
      </c>
      <c r="H95" t="s">
        <v>329</v>
      </c>
      <c r="I95">
        <v>201</v>
      </c>
      <c r="J95" t="s">
        <v>304</v>
      </c>
      <c r="K95" t="s">
        <v>304</v>
      </c>
      <c r="L95" t="s">
        <v>305</v>
      </c>
      <c r="M95">
        <v>5970426.21</v>
      </c>
      <c r="P95">
        <v>6015000</v>
      </c>
      <c r="R95" s="154"/>
      <c r="S95" s="73">
        <f t="shared" ref="S95:S114" si="9">M95*$S$7*1.141</f>
        <v>681225.63056100009</v>
      </c>
    </row>
    <row r="96" spans="1:19" ht="15">
      <c r="A96" s="161" t="s">
        <v>296</v>
      </c>
      <c r="B96" t="s">
        <v>354</v>
      </c>
      <c r="C96" t="s">
        <v>252</v>
      </c>
      <c r="D96" t="s">
        <v>327</v>
      </c>
      <c r="E96" t="s">
        <v>328</v>
      </c>
      <c r="F96" t="s">
        <v>301</v>
      </c>
      <c r="G96">
        <v>101002</v>
      </c>
      <c r="H96" t="s">
        <v>335</v>
      </c>
      <c r="I96">
        <v>201</v>
      </c>
      <c r="J96" t="s">
        <v>304</v>
      </c>
      <c r="K96" t="s">
        <v>304</v>
      </c>
      <c r="L96" t="s">
        <v>305</v>
      </c>
      <c r="M96">
        <v>73805.39</v>
      </c>
      <c r="P96">
        <v>32000</v>
      </c>
      <c r="R96" s="154"/>
      <c r="S96" s="73">
        <f t="shared" si="9"/>
        <v>8421.1949990000012</v>
      </c>
    </row>
    <row r="97" spans="1:19" ht="15">
      <c r="A97" s="161" t="s">
        <v>296</v>
      </c>
      <c r="B97" t="s">
        <v>354</v>
      </c>
      <c r="C97" t="s">
        <v>252</v>
      </c>
      <c r="D97" t="s">
        <v>327</v>
      </c>
      <c r="E97" t="s">
        <v>328</v>
      </c>
      <c r="F97" t="s">
        <v>301</v>
      </c>
      <c r="G97">
        <v>101039</v>
      </c>
      <c r="H97" t="s">
        <v>312</v>
      </c>
      <c r="I97">
        <v>201</v>
      </c>
      <c r="J97" t="s">
        <v>304</v>
      </c>
      <c r="K97" t="s">
        <v>304</v>
      </c>
      <c r="L97" t="s">
        <v>305</v>
      </c>
      <c r="M97">
        <v>153142.28</v>
      </c>
      <c r="P97">
        <v>0</v>
      </c>
      <c r="R97" s="154"/>
      <c r="S97" s="73">
        <f t="shared" si="9"/>
        <v>17473.534148000002</v>
      </c>
    </row>
    <row r="98" spans="1:19" ht="15">
      <c r="A98" s="161" t="s">
        <v>296</v>
      </c>
      <c r="B98" t="s">
        <v>354</v>
      </c>
      <c r="C98" t="s">
        <v>252</v>
      </c>
      <c r="D98" t="s">
        <v>327</v>
      </c>
      <c r="E98" t="s">
        <v>328</v>
      </c>
      <c r="F98" t="s">
        <v>301</v>
      </c>
      <c r="G98">
        <v>101039</v>
      </c>
      <c r="H98" t="s">
        <v>312</v>
      </c>
      <c r="I98">
        <v>201</v>
      </c>
      <c r="J98" t="s">
        <v>350</v>
      </c>
      <c r="K98" t="s">
        <v>304</v>
      </c>
      <c r="L98" t="s">
        <v>305</v>
      </c>
      <c r="M98">
        <v>32393.759999999998</v>
      </c>
      <c r="P98">
        <v>32000</v>
      </c>
      <c r="R98" s="154"/>
      <c r="S98" s="73">
        <f t="shared" si="9"/>
        <v>3696.1280160000001</v>
      </c>
    </row>
    <row r="99" spans="1:19" ht="15">
      <c r="A99" s="161" t="s">
        <v>296</v>
      </c>
      <c r="B99" t="s">
        <v>354</v>
      </c>
      <c r="C99" t="s">
        <v>252</v>
      </c>
      <c r="D99" t="s">
        <v>327</v>
      </c>
      <c r="E99" t="s">
        <v>328</v>
      </c>
      <c r="F99" t="s">
        <v>301</v>
      </c>
      <c r="G99">
        <v>102002</v>
      </c>
      <c r="H99" t="s">
        <v>338</v>
      </c>
      <c r="I99">
        <v>201</v>
      </c>
      <c r="J99" t="s">
        <v>304</v>
      </c>
      <c r="K99" t="s">
        <v>304</v>
      </c>
      <c r="L99" t="s">
        <v>305</v>
      </c>
      <c r="M99">
        <v>14339.02</v>
      </c>
      <c r="P99">
        <v>0</v>
      </c>
      <c r="R99" s="154"/>
      <c r="S99" s="73">
        <f t="shared" si="9"/>
        <v>1636.0821820000001</v>
      </c>
    </row>
    <row r="100" spans="1:19" ht="15">
      <c r="A100" s="161" t="s">
        <v>296</v>
      </c>
      <c r="B100" t="s">
        <v>354</v>
      </c>
      <c r="C100" t="s">
        <v>252</v>
      </c>
      <c r="D100" t="s">
        <v>327</v>
      </c>
      <c r="E100" t="s">
        <v>328</v>
      </c>
      <c r="F100" t="s">
        <v>301</v>
      </c>
      <c r="G100">
        <v>102003</v>
      </c>
      <c r="H100" t="s">
        <v>339</v>
      </c>
      <c r="I100">
        <v>201</v>
      </c>
      <c r="J100" t="s">
        <v>304</v>
      </c>
      <c r="K100" t="s">
        <v>304</v>
      </c>
      <c r="L100" t="s">
        <v>305</v>
      </c>
      <c r="M100">
        <v>568353.02</v>
      </c>
      <c r="P100">
        <v>186000</v>
      </c>
      <c r="R100" s="154"/>
      <c r="S100" s="73">
        <f t="shared" si="9"/>
        <v>64849.079582000006</v>
      </c>
    </row>
    <row r="101" spans="1:19" ht="15">
      <c r="A101" s="161" t="s">
        <v>296</v>
      </c>
      <c r="B101" t="s">
        <v>354</v>
      </c>
      <c r="C101" t="s">
        <v>252</v>
      </c>
      <c r="D101" t="s">
        <v>327</v>
      </c>
      <c r="E101" t="s">
        <v>328</v>
      </c>
      <c r="F101" t="s">
        <v>301</v>
      </c>
      <c r="G101">
        <v>102003</v>
      </c>
      <c r="H101" t="s">
        <v>339</v>
      </c>
      <c r="I101">
        <v>201</v>
      </c>
      <c r="J101" t="s">
        <v>355</v>
      </c>
      <c r="K101" t="s">
        <v>304</v>
      </c>
      <c r="L101" t="s">
        <v>305</v>
      </c>
      <c r="M101">
        <v>0</v>
      </c>
      <c r="P101">
        <v>0</v>
      </c>
      <c r="R101" s="154"/>
      <c r="S101" s="73">
        <f t="shared" si="9"/>
        <v>0</v>
      </c>
    </row>
    <row r="102" spans="1:19" ht="15">
      <c r="A102" s="161" t="s">
        <v>296</v>
      </c>
      <c r="B102" t="s">
        <v>354</v>
      </c>
      <c r="C102" t="s">
        <v>252</v>
      </c>
      <c r="D102" t="s">
        <v>327</v>
      </c>
      <c r="E102" t="s">
        <v>328</v>
      </c>
      <c r="F102" t="s">
        <v>301</v>
      </c>
      <c r="G102">
        <v>102003</v>
      </c>
      <c r="H102" t="s">
        <v>339</v>
      </c>
      <c r="I102">
        <v>201</v>
      </c>
      <c r="J102" t="s">
        <v>356</v>
      </c>
      <c r="K102" t="s">
        <v>304</v>
      </c>
      <c r="L102" t="s">
        <v>305</v>
      </c>
      <c r="M102">
        <v>0</v>
      </c>
      <c r="P102">
        <v>4000</v>
      </c>
      <c r="R102" s="154"/>
      <c r="S102" s="73">
        <f t="shared" si="9"/>
        <v>0</v>
      </c>
    </row>
    <row r="103" spans="1:19" ht="15">
      <c r="A103" s="161" t="s">
        <v>296</v>
      </c>
      <c r="B103" t="s">
        <v>354</v>
      </c>
      <c r="C103" t="s">
        <v>252</v>
      </c>
      <c r="D103" t="s">
        <v>327</v>
      </c>
      <c r="E103" t="s">
        <v>328</v>
      </c>
      <c r="F103" t="s">
        <v>301</v>
      </c>
      <c r="G103">
        <v>102005</v>
      </c>
      <c r="H103" t="s">
        <v>340</v>
      </c>
      <c r="I103">
        <v>201</v>
      </c>
      <c r="J103" t="s">
        <v>304</v>
      </c>
      <c r="K103" t="s">
        <v>304</v>
      </c>
      <c r="L103" t="s">
        <v>305</v>
      </c>
      <c r="M103">
        <v>103383.45</v>
      </c>
      <c r="P103">
        <v>48000</v>
      </c>
      <c r="R103" s="154"/>
      <c r="S103" s="73">
        <f t="shared" si="9"/>
        <v>11796.051645000001</v>
      </c>
    </row>
    <row r="104" spans="1:19" ht="15">
      <c r="A104" s="161" t="s">
        <v>296</v>
      </c>
      <c r="B104" t="s">
        <v>354</v>
      </c>
      <c r="C104" t="s">
        <v>252</v>
      </c>
      <c r="D104" t="s">
        <v>327</v>
      </c>
      <c r="E104" t="s">
        <v>328</v>
      </c>
      <c r="F104" t="s">
        <v>301</v>
      </c>
      <c r="G104">
        <v>102062</v>
      </c>
      <c r="H104" t="s">
        <v>341</v>
      </c>
      <c r="I104">
        <v>201</v>
      </c>
      <c r="J104" t="s">
        <v>304</v>
      </c>
      <c r="K104" t="s">
        <v>304</v>
      </c>
      <c r="L104" t="s">
        <v>305</v>
      </c>
      <c r="M104">
        <v>2303.34</v>
      </c>
      <c r="P104">
        <v>0</v>
      </c>
      <c r="R104" s="154"/>
      <c r="S104" s="73">
        <f t="shared" si="9"/>
        <v>262.81109400000003</v>
      </c>
    </row>
    <row r="105" spans="1:19" ht="15">
      <c r="A105" s="161" t="s">
        <v>296</v>
      </c>
      <c r="B105" t="s">
        <v>354</v>
      </c>
      <c r="C105" t="s">
        <v>252</v>
      </c>
      <c r="D105" t="s">
        <v>327</v>
      </c>
      <c r="E105" t="s">
        <v>328</v>
      </c>
      <c r="F105" t="s">
        <v>301</v>
      </c>
      <c r="G105">
        <v>103001</v>
      </c>
      <c r="H105" t="s">
        <v>342</v>
      </c>
      <c r="I105">
        <v>201</v>
      </c>
      <c r="J105" t="s">
        <v>304</v>
      </c>
      <c r="K105" t="s">
        <v>304</v>
      </c>
      <c r="L105" t="s">
        <v>305</v>
      </c>
      <c r="M105">
        <v>76539.490000000005</v>
      </c>
      <c r="P105">
        <v>0</v>
      </c>
      <c r="R105" s="154"/>
      <c r="S105" s="73">
        <f t="shared" si="9"/>
        <v>8733.1558089999999</v>
      </c>
    </row>
    <row r="106" spans="1:19" ht="15">
      <c r="A106" s="161" t="s">
        <v>296</v>
      </c>
      <c r="B106" t="s">
        <v>354</v>
      </c>
      <c r="C106" t="s">
        <v>252</v>
      </c>
      <c r="D106" t="s">
        <v>327</v>
      </c>
      <c r="E106" t="s">
        <v>328</v>
      </c>
      <c r="F106" t="s">
        <v>301</v>
      </c>
      <c r="G106">
        <v>103001</v>
      </c>
      <c r="H106" t="s">
        <v>342</v>
      </c>
      <c r="I106">
        <v>201</v>
      </c>
      <c r="J106" t="s">
        <v>357</v>
      </c>
      <c r="K106" t="s">
        <v>304</v>
      </c>
      <c r="L106" t="s">
        <v>305</v>
      </c>
      <c r="M106">
        <v>18717.580000000002</v>
      </c>
      <c r="P106">
        <v>0</v>
      </c>
      <c r="R106" s="154"/>
      <c r="S106" s="73">
        <f t="shared" si="9"/>
        <v>2135.6758780000005</v>
      </c>
    </row>
    <row r="107" spans="1:19" ht="15">
      <c r="A107" s="161" t="s">
        <v>296</v>
      </c>
      <c r="B107" t="s">
        <v>354</v>
      </c>
      <c r="C107" t="s">
        <v>252</v>
      </c>
      <c r="D107" t="s">
        <v>327</v>
      </c>
      <c r="E107" t="s">
        <v>328</v>
      </c>
      <c r="F107" t="s">
        <v>301</v>
      </c>
      <c r="G107">
        <v>103001</v>
      </c>
      <c r="H107" t="s">
        <v>342</v>
      </c>
      <c r="I107">
        <v>201</v>
      </c>
      <c r="J107" t="s">
        <v>352</v>
      </c>
      <c r="K107" t="s">
        <v>304</v>
      </c>
      <c r="L107" t="s">
        <v>305</v>
      </c>
      <c r="M107">
        <v>33546.61</v>
      </c>
      <c r="P107">
        <v>0</v>
      </c>
      <c r="R107" s="154"/>
      <c r="S107" s="73">
        <f t="shared" si="9"/>
        <v>3827.668201</v>
      </c>
    </row>
    <row r="108" spans="1:19" ht="15">
      <c r="A108" s="161" t="s">
        <v>296</v>
      </c>
      <c r="B108" t="s">
        <v>354</v>
      </c>
      <c r="C108" t="s">
        <v>252</v>
      </c>
      <c r="D108" t="s">
        <v>327</v>
      </c>
      <c r="E108" t="s">
        <v>328</v>
      </c>
      <c r="F108" t="s">
        <v>301</v>
      </c>
      <c r="G108">
        <v>103069</v>
      </c>
      <c r="H108" t="s">
        <v>344</v>
      </c>
      <c r="I108">
        <v>201</v>
      </c>
      <c r="J108" t="s">
        <v>304</v>
      </c>
      <c r="K108" t="s">
        <v>304</v>
      </c>
      <c r="L108" t="s">
        <v>305</v>
      </c>
      <c r="M108">
        <v>5486.49</v>
      </c>
      <c r="P108">
        <v>0</v>
      </c>
      <c r="R108" s="154"/>
      <c r="S108" s="73">
        <f t="shared" si="9"/>
        <v>626.008509</v>
      </c>
    </row>
    <row r="109" spans="1:19" ht="15">
      <c r="A109" s="161" t="s">
        <v>296</v>
      </c>
      <c r="B109" t="s">
        <v>354</v>
      </c>
      <c r="C109" t="s">
        <v>252</v>
      </c>
      <c r="D109" t="s">
        <v>327</v>
      </c>
      <c r="E109" t="s">
        <v>328</v>
      </c>
      <c r="F109" t="s">
        <v>301</v>
      </c>
      <c r="G109">
        <v>104000</v>
      </c>
      <c r="H109" t="s">
        <v>345</v>
      </c>
      <c r="I109">
        <v>201</v>
      </c>
      <c r="J109" t="s">
        <v>304</v>
      </c>
      <c r="K109" t="s">
        <v>304</v>
      </c>
      <c r="L109" t="s">
        <v>305</v>
      </c>
      <c r="M109">
        <v>49933.98</v>
      </c>
      <c r="P109">
        <v>56000</v>
      </c>
      <c r="R109" s="154"/>
      <c r="S109" s="73">
        <f t="shared" si="9"/>
        <v>5697.4671180000014</v>
      </c>
    </row>
    <row r="110" spans="1:19" ht="15">
      <c r="A110" s="161" t="s">
        <v>296</v>
      </c>
      <c r="B110" t="s">
        <v>354</v>
      </c>
      <c r="C110" t="s">
        <v>252</v>
      </c>
      <c r="D110" t="s">
        <v>327</v>
      </c>
      <c r="E110" t="s">
        <v>328</v>
      </c>
      <c r="F110" t="s">
        <v>301</v>
      </c>
      <c r="G110">
        <v>104000</v>
      </c>
      <c r="H110" t="s">
        <v>345</v>
      </c>
      <c r="I110">
        <v>201</v>
      </c>
      <c r="J110" t="s">
        <v>356</v>
      </c>
      <c r="K110" t="s">
        <v>304</v>
      </c>
      <c r="L110" t="s">
        <v>305</v>
      </c>
      <c r="M110">
        <v>1860.08</v>
      </c>
      <c r="P110">
        <v>0</v>
      </c>
      <c r="R110" s="154"/>
      <c r="S110" s="73">
        <f t="shared" si="9"/>
        <v>212.235128</v>
      </c>
    </row>
    <row r="111" spans="1:19" ht="15">
      <c r="A111" s="161" t="s">
        <v>296</v>
      </c>
      <c r="B111" t="s">
        <v>354</v>
      </c>
      <c r="C111" t="s">
        <v>252</v>
      </c>
      <c r="D111" t="s">
        <v>327</v>
      </c>
      <c r="E111" t="s">
        <v>328</v>
      </c>
      <c r="F111" t="s">
        <v>301</v>
      </c>
      <c r="G111">
        <v>105010</v>
      </c>
      <c r="H111" t="s">
        <v>347</v>
      </c>
      <c r="I111">
        <v>201</v>
      </c>
      <c r="J111" t="s">
        <v>304</v>
      </c>
      <c r="K111" t="s">
        <v>304</v>
      </c>
      <c r="L111" t="s">
        <v>305</v>
      </c>
      <c r="M111">
        <v>12284.56</v>
      </c>
      <c r="P111">
        <v>0</v>
      </c>
      <c r="R111" s="154"/>
      <c r="S111" s="73">
        <f t="shared" si="9"/>
        <v>1401.6682960000001</v>
      </c>
    </row>
    <row r="112" spans="1:19" ht="15">
      <c r="A112" s="161" t="s">
        <v>296</v>
      </c>
      <c r="B112" t="s">
        <v>354</v>
      </c>
      <c r="C112" t="s">
        <v>252</v>
      </c>
      <c r="D112" t="s">
        <v>327</v>
      </c>
      <c r="E112" t="s">
        <v>328</v>
      </c>
      <c r="F112" t="s">
        <v>301</v>
      </c>
      <c r="G112">
        <v>105019</v>
      </c>
      <c r="H112" t="s">
        <v>348</v>
      </c>
      <c r="I112">
        <v>201</v>
      </c>
      <c r="J112" t="s">
        <v>304</v>
      </c>
      <c r="K112" t="s">
        <v>304</v>
      </c>
      <c r="L112" t="s">
        <v>305</v>
      </c>
      <c r="M112">
        <v>3288.78</v>
      </c>
      <c r="P112">
        <v>0</v>
      </c>
      <c r="R112" s="154"/>
      <c r="S112" s="73">
        <f t="shared" si="9"/>
        <v>375.24979800000006</v>
      </c>
    </row>
    <row r="113" spans="1:19" ht="15">
      <c r="A113" s="161" t="s">
        <v>296</v>
      </c>
      <c r="B113" t="s">
        <v>354</v>
      </c>
      <c r="C113" t="s">
        <v>252</v>
      </c>
      <c r="D113" t="s">
        <v>327</v>
      </c>
      <c r="E113" t="s">
        <v>328</v>
      </c>
      <c r="F113" t="s">
        <v>301</v>
      </c>
      <c r="G113">
        <v>105098</v>
      </c>
      <c r="H113" t="s">
        <v>302</v>
      </c>
      <c r="I113">
        <v>201</v>
      </c>
      <c r="J113" t="s">
        <v>331</v>
      </c>
      <c r="K113" t="s">
        <v>304</v>
      </c>
      <c r="L113" t="s">
        <v>305</v>
      </c>
      <c r="M113">
        <v>-4392</v>
      </c>
      <c r="P113">
        <v>0</v>
      </c>
      <c r="R113" s="154"/>
      <c r="S113" s="73">
        <f t="shared" si="9"/>
        <v>-501.12720000000007</v>
      </c>
    </row>
    <row r="114" spans="1:19" ht="15">
      <c r="A114" s="161" t="s">
        <v>296</v>
      </c>
      <c r="B114" t="s">
        <v>354</v>
      </c>
      <c r="C114" t="s">
        <v>252</v>
      </c>
      <c r="D114" t="s">
        <v>327</v>
      </c>
      <c r="E114" t="s">
        <v>328</v>
      </c>
      <c r="F114" t="s">
        <v>301</v>
      </c>
      <c r="G114">
        <v>105099</v>
      </c>
      <c r="H114" t="s">
        <v>306</v>
      </c>
      <c r="I114">
        <v>201</v>
      </c>
      <c r="J114" t="s">
        <v>332</v>
      </c>
      <c r="K114" t="s">
        <v>304</v>
      </c>
      <c r="L114" t="s">
        <v>305</v>
      </c>
      <c r="M114">
        <v>4392</v>
      </c>
      <c r="P114">
        <v>0</v>
      </c>
      <c r="R114" s="154"/>
      <c r="S114" s="73">
        <f t="shared" si="9"/>
        <v>501.12720000000007</v>
      </c>
    </row>
    <row r="115" spans="1:19" ht="15">
      <c r="A115" s="161" t="s">
        <v>296</v>
      </c>
      <c r="B115" t="s">
        <v>354</v>
      </c>
      <c r="C115" t="s">
        <v>252</v>
      </c>
      <c r="D115" t="s">
        <v>327</v>
      </c>
      <c r="E115" t="s">
        <v>328</v>
      </c>
      <c r="F115" t="s">
        <v>301</v>
      </c>
      <c r="G115" s="213">
        <v>109001</v>
      </c>
      <c r="H115" t="s">
        <v>324</v>
      </c>
      <c r="I115">
        <v>201</v>
      </c>
      <c r="J115" t="s">
        <v>304</v>
      </c>
      <c r="K115" t="s">
        <v>304</v>
      </c>
      <c r="L115" t="s">
        <v>305</v>
      </c>
      <c r="M115">
        <v>648848.62</v>
      </c>
      <c r="P115">
        <v>596000</v>
      </c>
      <c r="Q115" s="124">
        <f t="shared" ref="Q115:Q125" si="10">M115-P115</f>
        <v>52848.619999999995</v>
      </c>
      <c r="R115" s="124">
        <f t="shared" ref="R115:R118" si="11">M115*-1.141</f>
        <v>-740336.27541999996</v>
      </c>
    </row>
    <row r="116" spans="1:19" ht="15">
      <c r="A116" s="161" t="s">
        <v>296</v>
      </c>
      <c r="B116" t="s">
        <v>354</v>
      </c>
      <c r="C116" t="s">
        <v>252</v>
      </c>
      <c r="D116" t="s">
        <v>327</v>
      </c>
      <c r="E116" t="s">
        <v>328</v>
      </c>
      <c r="F116" t="s">
        <v>301</v>
      </c>
      <c r="G116" s="213">
        <v>109001</v>
      </c>
      <c r="H116" t="s">
        <v>324</v>
      </c>
      <c r="I116">
        <v>201</v>
      </c>
      <c r="J116" t="s">
        <v>357</v>
      </c>
      <c r="K116" t="s">
        <v>304</v>
      </c>
      <c r="L116" t="s">
        <v>305</v>
      </c>
      <c r="M116">
        <v>1773.62</v>
      </c>
      <c r="P116">
        <v>0</v>
      </c>
      <c r="Q116" s="124">
        <f t="shared" si="10"/>
        <v>1773.62</v>
      </c>
      <c r="R116" s="124">
        <f t="shared" si="11"/>
        <v>-2023.7004199999999</v>
      </c>
    </row>
    <row r="117" spans="1:19" ht="15">
      <c r="A117" s="161" t="s">
        <v>296</v>
      </c>
      <c r="B117" t="s">
        <v>354</v>
      </c>
      <c r="C117" t="s">
        <v>252</v>
      </c>
      <c r="D117" t="s">
        <v>327</v>
      </c>
      <c r="E117" t="s">
        <v>328</v>
      </c>
      <c r="F117" t="s">
        <v>301</v>
      </c>
      <c r="G117" s="213">
        <v>109001</v>
      </c>
      <c r="H117" t="s">
        <v>324</v>
      </c>
      <c r="I117">
        <v>201</v>
      </c>
      <c r="J117" t="s">
        <v>350</v>
      </c>
      <c r="K117" t="s">
        <v>304</v>
      </c>
      <c r="L117" t="s">
        <v>305</v>
      </c>
      <c r="M117">
        <v>3007.92</v>
      </c>
      <c r="P117">
        <v>3000</v>
      </c>
      <c r="Q117" s="124">
        <f t="shared" si="10"/>
        <v>7.9200000000000728</v>
      </c>
      <c r="R117" s="124">
        <f t="shared" si="11"/>
        <v>-3432.0367200000001</v>
      </c>
    </row>
    <row r="118" spans="1:19" ht="15">
      <c r="A118" s="161" t="s">
        <v>296</v>
      </c>
      <c r="B118" t="s">
        <v>354</v>
      </c>
      <c r="C118" t="s">
        <v>252</v>
      </c>
      <c r="D118" t="s">
        <v>327</v>
      </c>
      <c r="E118" t="s">
        <v>328</v>
      </c>
      <c r="F118" t="s">
        <v>301</v>
      </c>
      <c r="G118" s="213">
        <v>109001</v>
      </c>
      <c r="H118" t="s">
        <v>324</v>
      </c>
      <c r="I118">
        <v>201</v>
      </c>
      <c r="J118" t="s">
        <v>352</v>
      </c>
      <c r="K118" t="s">
        <v>304</v>
      </c>
      <c r="L118" t="s">
        <v>305</v>
      </c>
      <c r="M118">
        <v>3185.73</v>
      </c>
      <c r="P118">
        <v>0</v>
      </c>
      <c r="Q118" s="124">
        <f t="shared" si="10"/>
        <v>3185.73</v>
      </c>
      <c r="R118" s="124">
        <f t="shared" si="11"/>
        <v>-3634.9179300000001</v>
      </c>
    </row>
    <row r="119" spans="1:19" ht="15">
      <c r="A119" s="161" t="s">
        <v>296</v>
      </c>
      <c r="B119" t="s">
        <v>354</v>
      </c>
      <c r="C119" t="s">
        <v>252</v>
      </c>
      <c r="D119" t="s">
        <v>327</v>
      </c>
      <c r="E119" t="s">
        <v>328</v>
      </c>
      <c r="F119" t="s">
        <v>301</v>
      </c>
      <c r="G119" s="213">
        <v>109901</v>
      </c>
      <c r="H119" t="s">
        <v>309</v>
      </c>
      <c r="I119">
        <v>201</v>
      </c>
      <c r="J119" t="s">
        <v>304</v>
      </c>
      <c r="K119" t="s">
        <v>304</v>
      </c>
      <c r="L119" t="s">
        <v>305</v>
      </c>
      <c r="M119">
        <v>975254.3</v>
      </c>
      <c r="P119">
        <v>976000</v>
      </c>
      <c r="Q119" s="124">
        <f t="shared" si="10"/>
        <v>-745.69999999995343</v>
      </c>
      <c r="R119" s="154"/>
    </row>
    <row r="120" spans="1:19" ht="15">
      <c r="A120" s="161" t="s">
        <v>296</v>
      </c>
      <c r="B120" t="s">
        <v>354</v>
      </c>
      <c r="C120" t="s">
        <v>252</v>
      </c>
      <c r="D120" t="s">
        <v>327</v>
      </c>
      <c r="E120" t="s">
        <v>328</v>
      </c>
      <c r="F120" t="s">
        <v>301</v>
      </c>
      <c r="G120" s="213">
        <v>109901</v>
      </c>
      <c r="H120" t="s">
        <v>309</v>
      </c>
      <c r="I120">
        <v>201</v>
      </c>
      <c r="J120" t="s">
        <v>332</v>
      </c>
      <c r="K120" t="s">
        <v>304</v>
      </c>
      <c r="L120" t="s">
        <v>305</v>
      </c>
      <c r="M120">
        <v>619.32000000000005</v>
      </c>
      <c r="P120">
        <v>0</v>
      </c>
      <c r="Q120" s="124">
        <f t="shared" si="10"/>
        <v>619.32000000000005</v>
      </c>
      <c r="R120" s="154"/>
    </row>
    <row r="121" spans="1:19" ht="15">
      <c r="A121" s="161" t="s">
        <v>296</v>
      </c>
      <c r="B121" t="s">
        <v>354</v>
      </c>
      <c r="C121" t="s">
        <v>252</v>
      </c>
      <c r="D121" t="s">
        <v>327</v>
      </c>
      <c r="E121" t="s">
        <v>328</v>
      </c>
      <c r="F121" t="s">
        <v>301</v>
      </c>
      <c r="G121" s="213">
        <v>109901</v>
      </c>
      <c r="H121" t="s">
        <v>309</v>
      </c>
      <c r="I121">
        <v>201</v>
      </c>
      <c r="J121" t="s">
        <v>357</v>
      </c>
      <c r="K121" t="s">
        <v>304</v>
      </c>
      <c r="L121" t="s">
        <v>305</v>
      </c>
      <c r="M121">
        <v>2889.24</v>
      </c>
      <c r="P121">
        <v>0</v>
      </c>
      <c r="Q121" s="124">
        <f t="shared" si="10"/>
        <v>2889.24</v>
      </c>
      <c r="R121" s="154"/>
    </row>
    <row r="122" spans="1:19" ht="15">
      <c r="A122" s="161" t="s">
        <v>296</v>
      </c>
      <c r="B122" t="s">
        <v>354</v>
      </c>
      <c r="C122" t="s">
        <v>252</v>
      </c>
      <c r="D122" t="s">
        <v>327</v>
      </c>
      <c r="E122" t="s">
        <v>328</v>
      </c>
      <c r="F122" t="s">
        <v>301</v>
      </c>
      <c r="G122" s="213">
        <v>109901</v>
      </c>
      <c r="H122" t="s">
        <v>309</v>
      </c>
      <c r="I122">
        <v>201</v>
      </c>
      <c r="J122" t="s">
        <v>355</v>
      </c>
      <c r="K122" t="s">
        <v>304</v>
      </c>
      <c r="L122" t="s">
        <v>305</v>
      </c>
      <c r="M122">
        <v>0</v>
      </c>
      <c r="P122">
        <v>0</v>
      </c>
      <c r="Q122" s="124">
        <f t="shared" si="10"/>
        <v>0</v>
      </c>
      <c r="R122" s="154"/>
    </row>
    <row r="123" spans="1:19" ht="15">
      <c r="A123" s="161" t="s">
        <v>296</v>
      </c>
      <c r="B123" t="s">
        <v>354</v>
      </c>
      <c r="C123" t="s">
        <v>252</v>
      </c>
      <c r="D123" t="s">
        <v>327</v>
      </c>
      <c r="E123" t="s">
        <v>328</v>
      </c>
      <c r="F123" t="s">
        <v>301</v>
      </c>
      <c r="G123" s="213">
        <v>109901</v>
      </c>
      <c r="H123" t="s">
        <v>309</v>
      </c>
      <c r="I123">
        <v>201</v>
      </c>
      <c r="J123" t="s">
        <v>356</v>
      </c>
      <c r="K123" t="s">
        <v>304</v>
      </c>
      <c r="L123" t="s">
        <v>305</v>
      </c>
      <c r="M123">
        <v>262.25</v>
      </c>
      <c r="P123">
        <v>1000</v>
      </c>
      <c r="Q123" s="124">
        <f t="shared" si="10"/>
        <v>-737.75</v>
      </c>
      <c r="R123" s="154"/>
    </row>
    <row r="124" spans="1:19" ht="15">
      <c r="A124" s="161" t="s">
        <v>296</v>
      </c>
      <c r="B124" t="s">
        <v>354</v>
      </c>
      <c r="C124" t="s">
        <v>252</v>
      </c>
      <c r="D124" t="s">
        <v>327</v>
      </c>
      <c r="E124" t="s">
        <v>328</v>
      </c>
      <c r="F124" t="s">
        <v>301</v>
      </c>
      <c r="G124" s="213">
        <v>109901</v>
      </c>
      <c r="H124" t="s">
        <v>309</v>
      </c>
      <c r="I124">
        <v>201</v>
      </c>
      <c r="J124" t="s">
        <v>350</v>
      </c>
      <c r="K124" t="s">
        <v>304</v>
      </c>
      <c r="L124" t="s">
        <v>305</v>
      </c>
      <c r="M124">
        <v>4991.62</v>
      </c>
      <c r="P124">
        <v>5000</v>
      </c>
      <c r="Q124" s="124">
        <f t="shared" si="10"/>
        <v>-8.3800000000001091</v>
      </c>
      <c r="R124" s="154"/>
    </row>
    <row r="125" spans="1:19" ht="15">
      <c r="A125" s="161" t="s">
        <v>296</v>
      </c>
      <c r="B125" t="s">
        <v>354</v>
      </c>
      <c r="C125" t="s">
        <v>252</v>
      </c>
      <c r="D125" t="s">
        <v>327</v>
      </c>
      <c r="E125" t="s">
        <v>328</v>
      </c>
      <c r="F125" t="s">
        <v>301</v>
      </c>
      <c r="G125" s="213">
        <v>109901</v>
      </c>
      <c r="H125" t="s">
        <v>309</v>
      </c>
      <c r="I125">
        <v>201</v>
      </c>
      <c r="J125" t="s">
        <v>352</v>
      </c>
      <c r="K125" t="s">
        <v>304</v>
      </c>
      <c r="L125" t="s">
        <v>305</v>
      </c>
      <c r="M125">
        <v>5179.25</v>
      </c>
      <c r="P125">
        <v>0</v>
      </c>
      <c r="Q125" s="124">
        <f t="shared" si="10"/>
        <v>5179.25</v>
      </c>
      <c r="R125" s="154"/>
    </row>
    <row r="126" spans="1:19" ht="15">
      <c r="A126" s="161" t="s">
        <v>296</v>
      </c>
      <c r="B126" t="s">
        <v>358</v>
      </c>
      <c r="C126" t="s">
        <v>253</v>
      </c>
      <c r="D126" t="s">
        <v>327</v>
      </c>
      <c r="E126" t="s">
        <v>328</v>
      </c>
      <c r="F126" t="s">
        <v>301</v>
      </c>
      <c r="G126">
        <v>101001</v>
      </c>
      <c r="H126" t="s">
        <v>329</v>
      </c>
      <c r="I126">
        <v>201</v>
      </c>
      <c r="J126" t="s">
        <v>304</v>
      </c>
      <c r="K126" t="s">
        <v>304</v>
      </c>
      <c r="L126" t="s">
        <v>305</v>
      </c>
      <c r="M126">
        <v>6098578.1900000004</v>
      </c>
      <c r="P126">
        <v>6222000</v>
      </c>
      <c r="R126" s="154"/>
      <c r="S126" s="73">
        <f t="shared" ref="S126:S141" si="12">M126*$S$7*1.141</f>
        <v>695847.77147899999</v>
      </c>
    </row>
    <row r="127" spans="1:19" ht="15">
      <c r="A127" s="161" t="s">
        <v>296</v>
      </c>
      <c r="B127" t="s">
        <v>358</v>
      </c>
      <c r="C127" t="s">
        <v>253</v>
      </c>
      <c r="D127" t="s">
        <v>327</v>
      </c>
      <c r="E127" t="s">
        <v>328</v>
      </c>
      <c r="F127" t="s">
        <v>301</v>
      </c>
      <c r="G127">
        <v>101002</v>
      </c>
      <c r="H127" t="s">
        <v>335</v>
      </c>
      <c r="I127">
        <v>201</v>
      </c>
      <c r="J127" t="s">
        <v>304</v>
      </c>
      <c r="K127" t="s">
        <v>304</v>
      </c>
      <c r="L127" t="s">
        <v>305</v>
      </c>
      <c r="M127">
        <v>438029.8</v>
      </c>
      <c r="P127">
        <v>23000</v>
      </c>
      <c r="R127" s="154"/>
      <c r="S127" s="73">
        <f t="shared" si="12"/>
        <v>49979.200180000007</v>
      </c>
    </row>
    <row r="128" spans="1:19" ht="15">
      <c r="A128" s="161" t="s">
        <v>296</v>
      </c>
      <c r="B128" t="s">
        <v>358</v>
      </c>
      <c r="C128" t="s">
        <v>253</v>
      </c>
      <c r="D128" t="s">
        <v>327</v>
      </c>
      <c r="E128" t="s">
        <v>328</v>
      </c>
      <c r="F128" t="s">
        <v>301</v>
      </c>
      <c r="G128">
        <v>101039</v>
      </c>
      <c r="H128" t="s">
        <v>312</v>
      </c>
      <c r="I128">
        <v>201</v>
      </c>
      <c r="J128" t="s">
        <v>304</v>
      </c>
      <c r="K128" t="s">
        <v>304</v>
      </c>
      <c r="L128" t="s">
        <v>305</v>
      </c>
      <c r="M128">
        <v>203076.67</v>
      </c>
      <c r="P128">
        <v>0</v>
      </c>
      <c r="R128" s="154"/>
      <c r="S128" s="73">
        <f t="shared" si="12"/>
        <v>23171.048047</v>
      </c>
    </row>
    <row r="129" spans="1:19" ht="15">
      <c r="A129" s="161" t="s">
        <v>296</v>
      </c>
      <c r="B129" t="s">
        <v>358</v>
      </c>
      <c r="C129" t="s">
        <v>253</v>
      </c>
      <c r="D129" t="s">
        <v>327</v>
      </c>
      <c r="E129" t="s">
        <v>328</v>
      </c>
      <c r="F129" t="s">
        <v>301</v>
      </c>
      <c r="G129">
        <v>102002</v>
      </c>
      <c r="H129" t="s">
        <v>338</v>
      </c>
      <c r="I129">
        <v>201</v>
      </c>
      <c r="J129" t="s">
        <v>304</v>
      </c>
      <c r="K129" t="s">
        <v>304</v>
      </c>
      <c r="L129" t="s">
        <v>305</v>
      </c>
      <c r="M129">
        <v>1512.84</v>
      </c>
      <c r="P129">
        <v>0</v>
      </c>
      <c r="R129" s="154"/>
      <c r="S129" s="73">
        <f t="shared" si="12"/>
        <v>172.61504399999998</v>
      </c>
    </row>
    <row r="130" spans="1:19" ht="15">
      <c r="A130" s="161" t="s">
        <v>296</v>
      </c>
      <c r="B130" t="s">
        <v>358</v>
      </c>
      <c r="C130" t="s">
        <v>253</v>
      </c>
      <c r="D130" t="s">
        <v>327</v>
      </c>
      <c r="E130" t="s">
        <v>328</v>
      </c>
      <c r="F130" t="s">
        <v>301</v>
      </c>
      <c r="G130">
        <v>102002</v>
      </c>
      <c r="H130" t="s">
        <v>338</v>
      </c>
      <c r="I130">
        <v>201</v>
      </c>
      <c r="J130" t="s">
        <v>336</v>
      </c>
      <c r="K130" t="s">
        <v>304</v>
      </c>
      <c r="L130" t="s">
        <v>305</v>
      </c>
      <c r="M130">
        <v>9556.43</v>
      </c>
      <c r="P130">
        <v>0</v>
      </c>
      <c r="R130" s="154"/>
      <c r="S130" s="73">
        <f t="shared" si="12"/>
        <v>1090.388663</v>
      </c>
    </row>
    <row r="131" spans="1:19" ht="15">
      <c r="A131" s="161" t="s">
        <v>296</v>
      </c>
      <c r="B131" t="s">
        <v>358</v>
      </c>
      <c r="C131" t="s">
        <v>253</v>
      </c>
      <c r="D131" t="s">
        <v>327</v>
      </c>
      <c r="E131" t="s">
        <v>328</v>
      </c>
      <c r="F131" t="s">
        <v>301</v>
      </c>
      <c r="G131">
        <v>102003</v>
      </c>
      <c r="H131" t="s">
        <v>339</v>
      </c>
      <c r="I131">
        <v>201</v>
      </c>
      <c r="J131" t="s">
        <v>304</v>
      </c>
      <c r="K131" t="s">
        <v>304</v>
      </c>
      <c r="L131" t="s">
        <v>305</v>
      </c>
      <c r="M131">
        <v>727449.57</v>
      </c>
      <c r="P131">
        <v>230000</v>
      </c>
      <c r="R131" s="154"/>
      <c r="S131" s="73">
        <f t="shared" si="12"/>
        <v>83001.995937</v>
      </c>
    </row>
    <row r="132" spans="1:19" ht="15">
      <c r="A132" s="161" t="s">
        <v>296</v>
      </c>
      <c r="B132" t="s">
        <v>358</v>
      </c>
      <c r="C132" t="s">
        <v>253</v>
      </c>
      <c r="D132" t="s">
        <v>327</v>
      </c>
      <c r="E132" t="s">
        <v>328</v>
      </c>
      <c r="F132" t="s">
        <v>301</v>
      </c>
      <c r="G132">
        <v>102005</v>
      </c>
      <c r="H132" t="s">
        <v>340</v>
      </c>
      <c r="I132">
        <v>201</v>
      </c>
      <c r="J132" t="s">
        <v>304</v>
      </c>
      <c r="K132" t="s">
        <v>304</v>
      </c>
      <c r="L132" t="s">
        <v>305</v>
      </c>
      <c r="M132">
        <v>50422.6</v>
      </c>
      <c r="P132">
        <v>0</v>
      </c>
      <c r="R132" s="154"/>
      <c r="S132" s="73">
        <f t="shared" si="12"/>
        <v>5753.2186600000005</v>
      </c>
    </row>
    <row r="133" spans="1:19" ht="15">
      <c r="A133" s="161" t="s">
        <v>296</v>
      </c>
      <c r="B133" t="s">
        <v>358</v>
      </c>
      <c r="C133" t="s">
        <v>253</v>
      </c>
      <c r="D133" t="s">
        <v>327</v>
      </c>
      <c r="E133" t="s">
        <v>328</v>
      </c>
      <c r="F133" t="s">
        <v>301</v>
      </c>
      <c r="G133">
        <v>102062</v>
      </c>
      <c r="H133" t="s">
        <v>341</v>
      </c>
      <c r="I133">
        <v>201</v>
      </c>
      <c r="J133" t="s">
        <v>304</v>
      </c>
      <c r="K133" t="s">
        <v>304</v>
      </c>
      <c r="L133" t="s">
        <v>305</v>
      </c>
      <c r="M133">
        <v>824.32</v>
      </c>
      <c r="P133">
        <v>0</v>
      </c>
      <c r="R133" s="154"/>
      <c r="S133" s="73">
        <f t="shared" si="12"/>
        <v>94.054912000000016</v>
      </c>
    </row>
    <row r="134" spans="1:19" ht="15">
      <c r="A134" s="161" t="s">
        <v>296</v>
      </c>
      <c r="B134" t="s">
        <v>358</v>
      </c>
      <c r="C134" t="s">
        <v>253</v>
      </c>
      <c r="D134" t="s">
        <v>327</v>
      </c>
      <c r="E134" t="s">
        <v>328</v>
      </c>
      <c r="F134" t="s">
        <v>301</v>
      </c>
      <c r="G134">
        <v>103001</v>
      </c>
      <c r="H134" t="s">
        <v>342</v>
      </c>
      <c r="I134">
        <v>201</v>
      </c>
      <c r="J134" t="s">
        <v>304</v>
      </c>
      <c r="K134" t="s">
        <v>304</v>
      </c>
      <c r="L134" t="s">
        <v>305</v>
      </c>
      <c r="M134">
        <v>87681.18</v>
      </c>
      <c r="P134">
        <v>0</v>
      </c>
      <c r="R134" s="154"/>
      <c r="S134" s="73">
        <f t="shared" si="12"/>
        <v>10004.422638</v>
      </c>
    </row>
    <row r="135" spans="1:19" ht="15">
      <c r="A135" s="161" t="s">
        <v>296</v>
      </c>
      <c r="B135" t="s">
        <v>358</v>
      </c>
      <c r="C135" t="s">
        <v>253</v>
      </c>
      <c r="D135" t="s">
        <v>327</v>
      </c>
      <c r="E135" t="s">
        <v>328</v>
      </c>
      <c r="F135" t="s">
        <v>301</v>
      </c>
      <c r="G135">
        <v>103001</v>
      </c>
      <c r="H135" t="s">
        <v>342</v>
      </c>
      <c r="I135">
        <v>201</v>
      </c>
      <c r="J135" t="s">
        <v>336</v>
      </c>
      <c r="K135" t="s">
        <v>304</v>
      </c>
      <c r="L135" t="s">
        <v>305</v>
      </c>
      <c r="M135">
        <v>3295.32</v>
      </c>
      <c r="P135">
        <v>0</v>
      </c>
      <c r="R135" s="154"/>
      <c r="S135" s="73">
        <f t="shared" si="12"/>
        <v>375.99601200000006</v>
      </c>
    </row>
    <row r="136" spans="1:19" ht="15">
      <c r="A136" s="161" t="s">
        <v>296</v>
      </c>
      <c r="B136" t="s">
        <v>358</v>
      </c>
      <c r="C136" t="s">
        <v>253</v>
      </c>
      <c r="D136" t="s">
        <v>327</v>
      </c>
      <c r="E136" t="s">
        <v>328</v>
      </c>
      <c r="F136" t="s">
        <v>301</v>
      </c>
      <c r="G136">
        <v>103069</v>
      </c>
      <c r="H136" t="s">
        <v>344</v>
      </c>
      <c r="I136">
        <v>201</v>
      </c>
      <c r="J136" t="s">
        <v>304</v>
      </c>
      <c r="K136" t="s">
        <v>304</v>
      </c>
      <c r="L136" t="s">
        <v>305</v>
      </c>
      <c r="M136">
        <v>2167.29</v>
      </c>
      <c r="P136">
        <v>0</v>
      </c>
      <c r="R136" s="154"/>
      <c r="S136" s="73">
        <f t="shared" si="12"/>
        <v>247.28778900000003</v>
      </c>
    </row>
    <row r="137" spans="1:19" ht="15">
      <c r="A137" s="161" t="s">
        <v>296</v>
      </c>
      <c r="B137" t="s">
        <v>358</v>
      </c>
      <c r="C137" t="s">
        <v>253</v>
      </c>
      <c r="D137" t="s">
        <v>327</v>
      </c>
      <c r="E137" t="s">
        <v>328</v>
      </c>
      <c r="F137" t="s">
        <v>301</v>
      </c>
      <c r="G137">
        <v>104000</v>
      </c>
      <c r="H137" t="s">
        <v>345</v>
      </c>
      <c r="I137">
        <v>201</v>
      </c>
      <c r="J137" t="s">
        <v>304</v>
      </c>
      <c r="K137" t="s">
        <v>304</v>
      </c>
      <c r="L137" t="s">
        <v>305</v>
      </c>
      <c r="M137">
        <v>79766.38</v>
      </c>
      <c r="P137">
        <v>60000</v>
      </c>
      <c r="R137" s="154"/>
      <c r="S137" s="73">
        <f t="shared" si="12"/>
        <v>9101.3439580000013</v>
      </c>
    </row>
    <row r="138" spans="1:19" ht="15">
      <c r="A138" s="161" t="s">
        <v>296</v>
      </c>
      <c r="B138" t="s">
        <v>358</v>
      </c>
      <c r="C138" t="s">
        <v>253</v>
      </c>
      <c r="D138" t="s">
        <v>327</v>
      </c>
      <c r="E138" t="s">
        <v>328</v>
      </c>
      <c r="F138" t="s">
        <v>301</v>
      </c>
      <c r="G138">
        <v>105010</v>
      </c>
      <c r="H138" t="s">
        <v>347</v>
      </c>
      <c r="I138">
        <v>201</v>
      </c>
      <c r="J138" t="s">
        <v>304</v>
      </c>
      <c r="K138" t="s">
        <v>304</v>
      </c>
      <c r="L138" t="s">
        <v>305</v>
      </c>
      <c r="M138">
        <v>2713.17</v>
      </c>
      <c r="P138">
        <v>0</v>
      </c>
      <c r="R138" s="154"/>
      <c r="S138" s="73">
        <f t="shared" si="12"/>
        <v>309.57269700000001</v>
      </c>
    </row>
    <row r="139" spans="1:19" ht="15">
      <c r="A139" s="161" t="s">
        <v>296</v>
      </c>
      <c r="B139" t="s">
        <v>358</v>
      </c>
      <c r="C139" t="s">
        <v>253</v>
      </c>
      <c r="D139" t="s">
        <v>327</v>
      </c>
      <c r="E139" t="s">
        <v>328</v>
      </c>
      <c r="F139" t="s">
        <v>301</v>
      </c>
      <c r="G139">
        <v>105019</v>
      </c>
      <c r="H139" t="s">
        <v>348</v>
      </c>
      <c r="I139">
        <v>201</v>
      </c>
      <c r="J139" t="s">
        <v>304</v>
      </c>
      <c r="K139" t="s">
        <v>304</v>
      </c>
      <c r="L139" t="s">
        <v>305</v>
      </c>
      <c r="M139">
        <v>2187.27</v>
      </c>
      <c r="P139">
        <v>0</v>
      </c>
      <c r="R139" s="154"/>
      <c r="S139" s="73">
        <f t="shared" si="12"/>
        <v>249.56750700000001</v>
      </c>
    </row>
    <row r="140" spans="1:19" ht="15">
      <c r="A140" s="161" t="s">
        <v>296</v>
      </c>
      <c r="B140" t="s">
        <v>358</v>
      </c>
      <c r="C140" t="s">
        <v>253</v>
      </c>
      <c r="D140" t="s">
        <v>327</v>
      </c>
      <c r="E140" t="s">
        <v>328</v>
      </c>
      <c r="F140" t="s">
        <v>301</v>
      </c>
      <c r="G140">
        <v>105098</v>
      </c>
      <c r="H140" t="s">
        <v>302</v>
      </c>
      <c r="I140">
        <v>201</v>
      </c>
      <c r="J140" t="s">
        <v>331</v>
      </c>
      <c r="K140" t="s">
        <v>304</v>
      </c>
      <c r="L140" t="s">
        <v>305</v>
      </c>
      <c r="M140">
        <v>-5856</v>
      </c>
      <c r="P140">
        <v>0</v>
      </c>
      <c r="R140" s="154"/>
      <c r="S140" s="73">
        <f t="shared" si="12"/>
        <v>-668.16960000000006</v>
      </c>
    </row>
    <row r="141" spans="1:19" ht="15">
      <c r="A141" s="161" t="s">
        <v>296</v>
      </c>
      <c r="B141" t="s">
        <v>358</v>
      </c>
      <c r="C141" t="s">
        <v>253</v>
      </c>
      <c r="D141" t="s">
        <v>327</v>
      </c>
      <c r="E141" t="s">
        <v>328</v>
      </c>
      <c r="F141" t="s">
        <v>301</v>
      </c>
      <c r="G141">
        <v>105099</v>
      </c>
      <c r="H141" t="s">
        <v>306</v>
      </c>
      <c r="I141">
        <v>201</v>
      </c>
      <c r="J141" t="s">
        <v>332</v>
      </c>
      <c r="K141" t="s">
        <v>304</v>
      </c>
      <c r="L141" t="s">
        <v>305</v>
      </c>
      <c r="M141">
        <v>5856</v>
      </c>
      <c r="P141">
        <v>0</v>
      </c>
      <c r="R141" s="154"/>
      <c r="S141" s="73">
        <f t="shared" si="12"/>
        <v>668.16960000000006</v>
      </c>
    </row>
    <row r="142" spans="1:19" ht="15">
      <c r="A142" s="161" t="s">
        <v>296</v>
      </c>
      <c r="B142" t="s">
        <v>358</v>
      </c>
      <c r="C142" t="s">
        <v>253</v>
      </c>
      <c r="D142" t="s">
        <v>327</v>
      </c>
      <c r="E142" t="s">
        <v>328</v>
      </c>
      <c r="F142" t="s">
        <v>301</v>
      </c>
      <c r="G142" s="213">
        <v>109001</v>
      </c>
      <c r="H142" t="s">
        <v>324</v>
      </c>
      <c r="I142">
        <v>201</v>
      </c>
      <c r="J142" t="s">
        <v>304</v>
      </c>
      <c r="K142" t="s">
        <v>304</v>
      </c>
      <c r="L142" t="s">
        <v>305</v>
      </c>
      <c r="M142">
        <v>703266.31</v>
      </c>
      <c r="P142">
        <v>616000</v>
      </c>
      <c r="Q142" s="124">
        <f t="shared" ref="Q142:Q146" si="13">M142-P142</f>
        <v>87266.310000000056</v>
      </c>
      <c r="R142" s="124">
        <f t="shared" ref="R142:R143" si="14">M142*-1.141</f>
        <v>-802426.85971000011</v>
      </c>
    </row>
    <row r="143" spans="1:19" ht="15">
      <c r="A143" s="161" t="s">
        <v>296</v>
      </c>
      <c r="B143" t="s">
        <v>358</v>
      </c>
      <c r="C143" t="s">
        <v>253</v>
      </c>
      <c r="D143" t="s">
        <v>327</v>
      </c>
      <c r="E143" t="s">
        <v>328</v>
      </c>
      <c r="F143" t="s">
        <v>301</v>
      </c>
      <c r="G143" s="213">
        <v>109001</v>
      </c>
      <c r="H143" t="s">
        <v>324</v>
      </c>
      <c r="I143">
        <v>201</v>
      </c>
      <c r="J143" t="s">
        <v>336</v>
      </c>
      <c r="K143" t="s">
        <v>304</v>
      </c>
      <c r="L143" t="s">
        <v>305</v>
      </c>
      <c r="M143">
        <v>1217.78</v>
      </c>
      <c r="P143">
        <v>0</v>
      </c>
      <c r="Q143" s="124">
        <f t="shared" si="13"/>
        <v>1217.78</v>
      </c>
      <c r="R143" s="124">
        <f t="shared" si="14"/>
        <v>-1389.4869799999999</v>
      </c>
    </row>
    <row r="144" spans="1:19" ht="15">
      <c r="A144" s="161" t="s">
        <v>296</v>
      </c>
      <c r="B144" t="s">
        <v>358</v>
      </c>
      <c r="C144" t="s">
        <v>253</v>
      </c>
      <c r="D144" t="s">
        <v>327</v>
      </c>
      <c r="E144" t="s">
        <v>328</v>
      </c>
      <c r="F144" t="s">
        <v>301</v>
      </c>
      <c r="G144" s="213">
        <v>109901</v>
      </c>
      <c r="H144" t="s">
        <v>309</v>
      </c>
      <c r="I144">
        <v>201</v>
      </c>
      <c r="J144" t="s">
        <v>304</v>
      </c>
      <c r="K144" t="s">
        <v>304</v>
      </c>
      <c r="L144" t="s">
        <v>305</v>
      </c>
      <c r="M144">
        <v>996856.55</v>
      </c>
      <c r="P144">
        <v>1007000</v>
      </c>
      <c r="Q144" s="124">
        <f t="shared" si="13"/>
        <v>-10143.449999999953</v>
      </c>
      <c r="R144" s="154"/>
    </row>
    <row r="145" spans="1:19" ht="15">
      <c r="A145" s="161" t="s">
        <v>296</v>
      </c>
      <c r="B145" t="s">
        <v>358</v>
      </c>
      <c r="C145" t="s">
        <v>253</v>
      </c>
      <c r="D145" t="s">
        <v>327</v>
      </c>
      <c r="E145" t="s">
        <v>328</v>
      </c>
      <c r="F145" t="s">
        <v>301</v>
      </c>
      <c r="G145" s="213">
        <v>109901</v>
      </c>
      <c r="H145" t="s">
        <v>309</v>
      </c>
      <c r="I145">
        <v>201</v>
      </c>
      <c r="J145" t="s">
        <v>332</v>
      </c>
      <c r="K145" t="s">
        <v>304</v>
      </c>
      <c r="L145" t="s">
        <v>305</v>
      </c>
      <c r="M145">
        <v>825.76</v>
      </c>
      <c r="P145">
        <v>0</v>
      </c>
      <c r="Q145" s="124">
        <f t="shared" si="13"/>
        <v>825.76</v>
      </c>
      <c r="R145" s="154"/>
    </row>
    <row r="146" spans="1:19" ht="15">
      <c r="A146" s="161" t="s">
        <v>296</v>
      </c>
      <c r="B146" t="s">
        <v>358</v>
      </c>
      <c r="C146" t="s">
        <v>253</v>
      </c>
      <c r="D146" t="s">
        <v>327</v>
      </c>
      <c r="E146" t="s">
        <v>328</v>
      </c>
      <c r="F146" t="s">
        <v>301</v>
      </c>
      <c r="G146" s="213">
        <v>109901</v>
      </c>
      <c r="H146" t="s">
        <v>309</v>
      </c>
      <c r="I146">
        <v>201</v>
      </c>
      <c r="J146" t="s">
        <v>336</v>
      </c>
      <c r="K146" t="s">
        <v>304</v>
      </c>
      <c r="L146" t="s">
        <v>305</v>
      </c>
      <c r="M146">
        <v>1983.81</v>
      </c>
      <c r="P146">
        <v>0</v>
      </c>
      <c r="Q146" s="124">
        <f t="shared" si="13"/>
        <v>1983.81</v>
      </c>
      <c r="R146" s="154"/>
    </row>
    <row r="147" spans="1:19" ht="15">
      <c r="A147" s="161" t="s">
        <v>296</v>
      </c>
      <c r="B147" t="s">
        <v>359</v>
      </c>
      <c r="C147" t="s">
        <v>255</v>
      </c>
      <c r="D147" t="s">
        <v>327</v>
      </c>
      <c r="E147" t="s">
        <v>328</v>
      </c>
      <c r="F147" t="s">
        <v>301</v>
      </c>
      <c r="G147">
        <v>101001</v>
      </c>
      <c r="H147" t="s">
        <v>329</v>
      </c>
      <c r="I147">
        <v>201</v>
      </c>
      <c r="J147" t="s">
        <v>304</v>
      </c>
      <c r="K147" t="s">
        <v>304</v>
      </c>
      <c r="L147" t="s">
        <v>305</v>
      </c>
      <c r="M147">
        <v>10348789.300000001</v>
      </c>
      <c r="P147">
        <v>10766000</v>
      </c>
      <c r="R147" s="154"/>
      <c r="S147" s="73">
        <f t="shared" ref="S147:S164" si="15">M147*$S$7*1.141</f>
        <v>1180796.8591300002</v>
      </c>
    </row>
    <row r="148" spans="1:19" ht="15">
      <c r="A148" s="161" t="s">
        <v>296</v>
      </c>
      <c r="B148" t="s">
        <v>359</v>
      </c>
      <c r="C148" t="s">
        <v>255</v>
      </c>
      <c r="D148" t="s">
        <v>327</v>
      </c>
      <c r="E148" t="s">
        <v>328</v>
      </c>
      <c r="F148" t="s">
        <v>301</v>
      </c>
      <c r="G148">
        <v>101002</v>
      </c>
      <c r="H148" t="s">
        <v>335</v>
      </c>
      <c r="I148">
        <v>201</v>
      </c>
      <c r="J148" t="s">
        <v>304</v>
      </c>
      <c r="K148" t="s">
        <v>304</v>
      </c>
      <c r="L148" t="s">
        <v>305</v>
      </c>
      <c r="M148">
        <v>-27139.34</v>
      </c>
      <c r="P148">
        <v>0</v>
      </c>
      <c r="R148" s="154"/>
      <c r="S148" s="73">
        <f t="shared" si="15"/>
        <v>-3096.5986940000003</v>
      </c>
    </row>
    <row r="149" spans="1:19" ht="15">
      <c r="A149" s="161" t="s">
        <v>296</v>
      </c>
      <c r="B149" t="s">
        <v>359</v>
      </c>
      <c r="C149" t="s">
        <v>255</v>
      </c>
      <c r="D149" t="s">
        <v>327</v>
      </c>
      <c r="E149" t="s">
        <v>328</v>
      </c>
      <c r="F149" t="s">
        <v>301</v>
      </c>
      <c r="G149">
        <v>101002</v>
      </c>
      <c r="H149" t="s">
        <v>335</v>
      </c>
      <c r="I149">
        <v>201</v>
      </c>
      <c r="J149" t="s">
        <v>336</v>
      </c>
      <c r="K149" t="s">
        <v>304</v>
      </c>
      <c r="L149" t="s">
        <v>305</v>
      </c>
      <c r="M149">
        <v>14686.47</v>
      </c>
      <c r="P149">
        <v>0</v>
      </c>
      <c r="R149" s="154"/>
      <c r="S149" s="73">
        <f t="shared" si="15"/>
        <v>1675.7262269999999</v>
      </c>
    </row>
    <row r="150" spans="1:19" ht="15">
      <c r="A150" s="161" t="s">
        <v>296</v>
      </c>
      <c r="B150" t="s">
        <v>359</v>
      </c>
      <c r="C150" t="s">
        <v>255</v>
      </c>
      <c r="D150" t="s">
        <v>327</v>
      </c>
      <c r="E150" t="s">
        <v>328</v>
      </c>
      <c r="F150" t="s">
        <v>301</v>
      </c>
      <c r="G150">
        <v>101039</v>
      </c>
      <c r="H150" t="s">
        <v>312</v>
      </c>
      <c r="I150">
        <v>201</v>
      </c>
      <c r="J150" t="s">
        <v>304</v>
      </c>
      <c r="K150" t="s">
        <v>304</v>
      </c>
      <c r="L150" t="s">
        <v>305</v>
      </c>
      <c r="M150">
        <v>283896.31</v>
      </c>
      <c r="P150">
        <v>0</v>
      </c>
      <c r="R150" s="154"/>
      <c r="S150" s="73">
        <f t="shared" si="15"/>
        <v>32392.568971000001</v>
      </c>
    </row>
    <row r="151" spans="1:19" ht="15">
      <c r="A151" s="161" t="s">
        <v>296</v>
      </c>
      <c r="B151" t="s">
        <v>359</v>
      </c>
      <c r="C151" t="s">
        <v>255</v>
      </c>
      <c r="D151" t="s">
        <v>327</v>
      </c>
      <c r="E151" t="s">
        <v>328</v>
      </c>
      <c r="F151" t="s">
        <v>301</v>
      </c>
      <c r="G151">
        <v>102002</v>
      </c>
      <c r="H151" t="s">
        <v>338</v>
      </c>
      <c r="I151">
        <v>201</v>
      </c>
      <c r="J151" t="s">
        <v>304</v>
      </c>
      <c r="K151" t="s">
        <v>304</v>
      </c>
      <c r="L151" t="s">
        <v>305</v>
      </c>
      <c r="M151">
        <v>16528.900000000001</v>
      </c>
      <c r="P151">
        <v>0</v>
      </c>
      <c r="R151" s="154"/>
      <c r="S151" s="73">
        <f t="shared" si="15"/>
        <v>1885.9474900000005</v>
      </c>
    </row>
    <row r="152" spans="1:19" ht="15">
      <c r="A152" s="161" t="s">
        <v>296</v>
      </c>
      <c r="B152" t="s">
        <v>359</v>
      </c>
      <c r="C152" t="s">
        <v>255</v>
      </c>
      <c r="D152" t="s">
        <v>327</v>
      </c>
      <c r="E152" t="s">
        <v>328</v>
      </c>
      <c r="F152" t="s">
        <v>301</v>
      </c>
      <c r="G152">
        <v>102003</v>
      </c>
      <c r="H152" t="s">
        <v>339</v>
      </c>
      <c r="I152">
        <v>201</v>
      </c>
      <c r="J152" t="s">
        <v>304</v>
      </c>
      <c r="K152" t="s">
        <v>304</v>
      </c>
      <c r="L152" t="s">
        <v>305</v>
      </c>
      <c r="M152">
        <v>944084.37</v>
      </c>
      <c r="P152">
        <v>409000</v>
      </c>
      <c r="R152" s="154"/>
      <c r="S152" s="73">
        <f t="shared" si="15"/>
        <v>107720.02661700001</v>
      </c>
    </row>
    <row r="153" spans="1:19" ht="15">
      <c r="A153" s="161" t="s">
        <v>296</v>
      </c>
      <c r="B153" t="s">
        <v>359</v>
      </c>
      <c r="C153" t="s">
        <v>255</v>
      </c>
      <c r="D153" t="s">
        <v>327</v>
      </c>
      <c r="E153" t="s">
        <v>328</v>
      </c>
      <c r="F153" t="s">
        <v>301</v>
      </c>
      <c r="G153">
        <v>102005</v>
      </c>
      <c r="H153" t="s">
        <v>340</v>
      </c>
      <c r="I153">
        <v>201</v>
      </c>
      <c r="J153" t="s">
        <v>304</v>
      </c>
      <c r="K153" t="s">
        <v>304</v>
      </c>
      <c r="L153" t="s">
        <v>305</v>
      </c>
      <c r="M153">
        <v>52404.7</v>
      </c>
      <c r="P153">
        <v>24000</v>
      </c>
      <c r="R153" s="154"/>
      <c r="S153" s="73">
        <f t="shared" si="15"/>
        <v>5979.3762700000007</v>
      </c>
    </row>
    <row r="154" spans="1:19" ht="15">
      <c r="A154" s="161" t="s">
        <v>296</v>
      </c>
      <c r="B154" t="s">
        <v>359</v>
      </c>
      <c r="C154" t="s">
        <v>255</v>
      </c>
      <c r="D154" t="s">
        <v>327</v>
      </c>
      <c r="E154" t="s">
        <v>328</v>
      </c>
      <c r="F154" t="s">
        <v>301</v>
      </c>
      <c r="G154">
        <v>102060</v>
      </c>
      <c r="H154" t="s">
        <v>360</v>
      </c>
      <c r="I154">
        <v>201</v>
      </c>
      <c r="J154" t="s">
        <v>304</v>
      </c>
      <c r="K154" t="s">
        <v>304</v>
      </c>
      <c r="L154" t="s">
        <v>305</v>
      </c>
      <c r="M154">
        <v>627.20000000000005</v>
      </c>
      <c r="P154">
        <v>0</v>
      </c>
      <c r="R154" s="154"/>
      <c r="S154" s="73">
        <f t="shared" si="15"/>
        <v>71.563520000000011</v>
      </c>
    </row>
    <row r="155" spans="1:19" ht="15">
      <c r="A155" s="161" t="s">
        <v>296</v>
      </c>
      <c r="B155" t="s">
        <v>359</v>
      </c>
      <c r="C155" t="s">
        <v>255</v>
      </c>
      <c r="D155" t="s">
        <v>327</v>
      </c>
      <c r="E155" t="s">
        <v>328</v>
      </c>
      <c r="F155" t="s">
        <v>301</v>
      </c>
      <c r="G155">
        <v>102062</v>
      </c>
      <c r="H155" t="s">
        <v>341</v>
      </c>
      <c r="I155">
        <v>201</v>
      </c>
      <c r="J155" t="s">
        <v>304</v>
      </c>
      <c r="K155" t="s">
        <v>304</v>
      </c>
      <c r="L155" t="s">
        <v>305</v>
      </c>
      <c r="M155">
        <v>3842.98</v>
      </c>
      <c r="P155">
        <v>0</v>
      </c>
      <c r="R155" s="154"/>
      <c r="S155" s="73">
        <f t="shared" si="15"/>
        <v>438.48401799999999</v>
      </c>
    </row>
    <row r="156" spans="1:19" ht="15">
      <c r="A156" s="161" t="s">
        <v>296</v>
      </c>
      <c r="B156" t="s">
        <v>359</v>
      </c>
      <c r="C156" t="s">
        <v>255</v>
      </c>
      <c r="D156" t="s">
        <v>327</v>
      </c>
      <c r="E156" t="s">
        <v>328</v>
      </c>
      <c r="F156" t="s">
        <v>301</v>
      </c>
      <c r="G156">
        <v>103001</v>
      </c>
      <c r="H156" t="s">
        <v>342</v>
      </c>
      <c r="I156">
        <v>201</v>
      </c>
      <c r="J156" t="s">
        <v>304</v>
      </c>
      <c r="K156" t="s">
        <v>304</v>
      </c>
      <c r="L156" t="s">
        <v>305</v>
      </c>
      <c r="M156">
        <v>93518.21</v>
      </c>
      <c r="P156">
        <v>0</v>
      </c>
      <c r="R156" s="154"/>
      <c r="S156" s="73">
        <f t="shared" si="15"/>
        <v>10670.427761000003</v>
      </c>
    </row>
    <row r="157" spans="1:19" ht="15">
      <c r="A157" s="161" t="s">
        <v>296</v>
      </c>
      <c r="B157" t="s">
        <v>359</v>
      </c>
      <c r="C157" t="s">
        <v>255</v>
      </c>
      <c r="D157" t="s">
        <v>327</v>
      </c>
      <c r="E157" t="s">
        <v>328</v>
      </c>
      <c r="F157" t="s">
        <v>301</v>
      </c>
      <c r="G157">
        <v>103001</v>
      </c>
      <c r="H157" t="s">
        <v>342</v>
      </c>
      <c r="I157">
        <v>201</v>
      </c>
      <c r="J157" t="s">
        <v>336</v>
      </c>
      <c r="K157" t="s">
        <v>304</v>
      </c>
      <c r="L157" t="s">
        <v>305</v>
      </c>
      <c r="M157">
        <v>1540.9</v>
      </c>
      <c r="P157">
        <v>0</v>
      </c>
      <c r="R157" s="154"/>
      <c r="S157" s="73">
        <f t="shared" si="15"/>
        <v>175.81669000000005</v>
      </c>
    </row>
    <row r="158" spans="1:19" ht="15">
      <c r="A158" s="161" t="s">
        <v>296</v>
      </c>
      <c r="B158" t="s">
        <v>359</v>
      </c>
      <c r="C158" t="s">
        <v>255</v>
      </c>
      <c r="D158" t="s">
        <v>327</v>
      </c>
      <c r="E158" t="s">
        <v>328</v>
      </c>
      <c r="F158" t="s">
        <v>301</v>
      </c>
      <c r="G158">
        <v>103069</v>
      </c>
      <c r="H158" t="s">
        <v>344</v>
      </c>
      <c r="I158">
        <v>201</v>
      </c>
      <c r="J158" t="s">
        <v>304</v>
      </c>
      <c r="K158" t="s">
        <v>304</v>
      </c>
      <c r="L158" t="s">
        <v>305</v>
      </c>
      <c r="M158">
        <v>10405.879999999999</v>
      </c>
      <c r="P158">
        <v>0</v>
      </c>
      <c r="R158" s="154"/>
      <c r="S158" s="73">
        <f t="shared" si="15"/>
        <v>1187.3109079999999</v>
      </c>
    </row>
    <row r="159" spans="1:19" ht="15">
      <c r="A159" s="161" t="s">
        <v>296</v>
      </c>
      <c r="B159" t="s">
        <v>359</v>
      </c>
      <c r="C159" t="s">
        <v>255</v>
      </c>
      <c r="D159" t="s">
        <v>327</v>
      </c>
      <c r="E159" t="s">
        <v>328</v>
      </c>
      <c r="F159" t="s">
        <v>301</v>
      </c>
      <c r="G159">
        <v>104000</v>
      </c>
      <c r="H159" t="s">
        <v>345</v>
      </c>
      <c r="I159">
        <v>201</v>
      </c>
      <c r="J159" t="s">
        <v>304</v>
      </c>
      <c r="K159" t="s">
        <v>304</v>
      </c>
      <c r="L159" t="s">
        <v>305</v>
      </c>
      <c r="M159">
        <v>102339.69</v>
      </c>
      <c r="P159">
        <v>91000</v>
      </c>
      <c r="R159" s="154"/>
      <c r="S159" s="73">
        <f t="shared" si="15"/>
        <v>11676.958629000001</v>
      </c>
    </row>
    <row r="160" spans="1:19" ht="15">
      <c r="A160" s="161" t="s">
        <v>296</v>
      </c>
      <c r="B160" t="s">
        <v>359</v>
      </c>
      <c r="C160" t="s">
        <v>255</v>
      </c>
      <c r="D160" t="s">
        <v>327</v>
      </c>
      <c r="E160" t="s">
        <v>328</v>
      </c>
      <c r="F160" t="s">
        <v>301</v>
      </c>
      <c r="G160">
        <v>105003</v>
      </c>
      <c r="H160" t="s">
        <v>346</v>
      </c>
      <c r="I160">
        <v>201</v>
      </c>
      <c r="J160" t="s">
        <v>304</v>
      </c>
      <c r="K160" t="s">
        <v>304</v>
      </c>
      <c r="L160" t="s">
        <v>305</v>
      </c>
      <c r="M160">
        <v>69635.08</v>
      </c>
      <c r="P160">
        <v>0</v>
      </c>
      <c r="R160" s="154"/>
      <c r="S160" s="73">
        <f t="shared" si="15"/>
        <v>7945.3626280000008</v>
      </c>
    </row>
    <row r="161" spans="1:19" ht="15">
      <c r="A161" s="161" t="s">
        <v>296</v>
      </c>
      <c r="B161" t="s">
        <v>359</v>
      </c>
      <c r="C161" t="s">
        <v>255</v>
      </c>
      <c r="D161" t="s">
        <v>327</v>
      </c>
      <c r="E161" t="s">
        <v>328</v>
      </c>
      <c r="F161" t="s">
        <v>301</v>
      </c>
      <c r="G161">
        <v>105010</v>
      </c>
      <c r="H161" t="s">
        <v>347</v>
      </c>
      <c r="I161">
        <v>201</v>
      </c>
      <c r="J161" t="s">
        <v>304</v>
      </c>
      <c r="K161" t="s">
        <v>304</v>
      </c>
      <c r="L161" t="s">
        <v>305</v>
      </c>
      <c r="M161">
        <v>10941.5</v>
      </c>
      <c r="P161">
        <v>0</v>
      </c>
      <c r="R161" s="154"/>
      <c r="S161" s="73">
        <f t="shared" si="15"/>
        <v>1248.42515</v>
      </c>
    </row>
    <row r="162" spans="1:19" ht="15">
      <c r="A162" s="161" t="s">
        <v>296</v>
      </c>
      <c r="B162" t="s">
        <v>359</v>
      </c>
      <c r="C162" t="s">
        <v>255</v>
      </c>
      <c r="D162" t="s">
        <v>327</v>
      </c>
      <c r="E162" t="s">
        <v>328</v>
      </c>
      <c r="F162" t="s">
        <v>301</v>
      </c>
      <c r="G162">
        <v>105019</v>
      </c>
      <c r="H162" t="s">
        <v>348</v>
      </c>
      <c r="I162">
        <v>201</v>
      </c>
      <c r="J162" t="s">
        <v>304</v>
      </c>
      <c r="K162" t="s">
        <v>304</v>
      </c>
      <c r="L162" t="s">
        <v>305</v>
      </c>
      <c r="M162">
        <v>1251.6500000000001</v>
      </c>
      <c r="P162">
        <v>0</v>
      </c>
      <c r="R162" s="154"/>
      <c r="S162" s="73">
        <f t="shared" si="15"/>
        <v>142.81326500000003</v>
      </c>
    </row>
    <row r="163" spans="1:19" ht="15">
      <c r="A163" s="161" t="s">
        <v>296</v>
      </c>
      <c r="B163" t="s">
        <v>359</v>
      </c>
      <c r="C163" t="s">
        <v>255</v>
      </c>
      <c r="D163" t="s">
        <v>327</v>
      </c>
      <c r="E163" t="s">
        <v>328</v>
      </c>
      <c r="F163" t="s">
        <v>301</v>
      </c>
      <c r="G163">
        <v>105098</v>
      </c>
      <c r="H163" t="s">
        <v>302</v>
      </c>
      <c r="I163">
        <v>201</v>
      </c>
      <c r="J163" t="s">
        <v>331</v>
      </c>
      <c r="K163" t="s">
        <v>304</v>
      </c>
      <c r="L163" t="s">
        <v>305</v>
      </c>
      <c r="M163">
        <v>-4392</v>
      </c>
      <c r="P163">
        <v>0</v>
      </c>
      <c r="R163" s="154"/>
      <c r="S163" s="73">
        <f t="shared" si="15"/>
        <v>-501.12720000000007</v>
      </c>
    </row>
    <row r="164" spans="1:19" ht="15">
      <c r="A164" s="161" t="s">
        <v>296</v>
      </c>
      <c r="B164" t="s">
        <v>359</v>
      </c>
      <c r="C164" t="s">
        <v>255</v>
      </c>
      <c r="D164" t="s">
        <v>327</v>
      </c>
      <c r="E164" t="s">
        <v>328</v>
      </c>
      <c r="F164" t="s">
        <v>301</v>
      </c>
      <c r="G164">
        <v>105099</v>
      </c>
      <c r="H164" t="s">
        <v>306</v>
      </c>
      <c r="I164">
        <v>201</v>
      </c>
      <c r="J164" t="s">
        <v>332</v>
      </c>
      <c r="K164" t="s">
        <v>304</v>
      </c>
      <c r="L164" t="s">
        <v>305</v>
      </c>
      <c r="M164">
        <v>4392</v>
      </c>
      <c r="P164">
        <v>0</v>
      </c>
      <c r="R164" s="154"/>
      <c r="S164" s="73">
        <f t="shared" si="15"/>
        <v>501.12720000000007</v>
      </c>
    </row>
    <row r="165" spans="1:19" ht="15">
      <c r="A165" s="161" t="s">
        <v>296</v>
      </c>
      <c r="B165" t="s">
        <v>359</v>
      </c>
      <c r="C165" t="s">
        <v>255</v>
      </c>
      <c r="D165" t="s">
        <v>327</v>
      </c>
      <c r="E165" t="s">
        <v>328</v>
      </c>
      <c r="F165" t="s">
        <v>301</v>
      </c>
      <c r="G165" s="213">
        <v>109001</v>
      </c>
      <c r="H165" t="s">
        <v>324</v>
      </c>
      <c r="I165">
        <v>201</v>
      </c>
      <c r="J165" t="s">
        <v>304</v>
      </c>
      <c r="K165" t="s">
        <v>304</v>
      </c>
      <c r="L165" t="s">
        <v>305</v>
      </c>
      <c r="M165">
        <v>1083424.67</v>
      </c>
      <c r="P165">
        <v>1061000</v>
      </c>
      <c r="Q165" s="124">
        <f t="shared" ref="Q165:Q169" si="16">M165-P165</f>
        <v>22424.669999999925</v>
      </c>
      <c r="R165" s="124">
        <f t="shared" ref="R165:R166" si="17">M165*-1.141</f>
        <v>-1236187.54847</v>
      </c>
    </row>
    <row r="166" spans="1:19" ht="15">
      <c r="A166" s="161" t="s">
        <v>296</v>
      </c>
      <c r="B166" t="s">
        <v>359</v>
      </c>
      <c r="C166" t="s">
        <v>255</v>
      </c>
      <c r="D166" t="s">
        <v>327</v>
      </c>
      <c r="E166" t="s">
        <v>328</v>
      </c>
      <c r="F166" t="s">
        <v>301</v>
      </c>
      <c r="G166" s="213">
        <v>109001</v>
      </c>
      <c r="H166" t="s">
        <v>324</v>
      </c>
      <c r="I166">
        <v>201</v>
      </c>
      <c r="J166" t="s">
        <v>336</v>
      </c>
      <c r="K166" t="s">
        <v>304</v>
      </c>
      <c r="L166" t="s">
        <v>305</v>
      </c>
      <c r="M166">
        <v>1529.81</v>
      </c>
      <c r="P166">
        <v>0</v>
      </c>
      <c r="Q166" s="124">
        <f t="shared" si="16"/>
        <v>1529.81</v>
      </c>
      <c r="R166" s="124">
        <f t="shared" si="17"/>
        <v>-1745.5132100000001</v>
      </c>
    </row>
    <row r="167" spans="1:19" ht="15">
      <c r="A167" s="161" t="s">
        <v>296</v>
      </c>
      <c r="B167" t="s">
        <v>359</v>
      </c>
      <c r="C167" t="s">
        <v>255</v>
      </c>
      <c r="D167" t="s">
        <v>327</v>
      </c>
      <c r="E167" t="s">
        <v>328</v>
      </c>
      <c r="F167" t="s">
        <v>301</v>
      </c>
      <c r="G167" s="213">
        <v>109901</v>
      </c>
      <c r="H167" t="s">
        <v>309</v>
      </c>
      <c r="I167">
        <v>201</v>
      </c>
      <c r="J167" t="s">
        <v>304</v>
      </c>
      <c r="K167" t="s">
        <v>304</v>
      </c>
      <c r="L167" t="s">
        <v>305</v>
      </c>
      <c r="M167">
        <v>1746326.99</v>
      </c>
      <c r="P167">
        <v>1741000</v>
      </c>
      <c r="Q167" s="124">
        <f t="shared" si="16"/>
        <v>5326.9899999999907</v>
      </c>
      <c r="R167" s="154"/>
    </row>
    <row r="168" spans="1:19" ht="15">
      <c r="A168" s="161" t="s">
        <v>296</v>
      </c>
      <c r="B168" t="s">
        <v>359</v>
      </c>
      <c r="C168" t="s">
        <v>255</v>
      </c>
      <c r="D168" t="s">
        <v>327</v>
      </c>
      <c r="E168" t="s">
        <v>328</v>
      </c>
      <c r="F168" t="s">
        <v>301</v>
      </c>
      <c r="G168" s="213">
        <v>109901</v>
      </c>
      <c r="H168" t="s">
        <v>309</v>
      </c>
      <c r="I168">
        <v>201</v>
      </c>
      <c r="J168" t="s">
        <v>332</v>
      </c>
      <c r="K168" t="s">
        <v>304</v>
      </c>
      <c r="L168" t="s">
        <v>305</v>
      </c>
      <c r="M168">
        <v>619.32000000000005</v>
      </c>
      <c r="P168">
        <v>0</v>
      </c>
      <c r="Q168" s="124">
        <f t="shared" si="16"/>
        <v>619.32000000000005</v>
      </c>
      <c r="R168" s="154"/>
    </row>
    <row r="169" spans="1:19" ht="15">
      <c r="A169" s="161" t="s">
        <v>296</v>
      </c>
      <c r="B169" t="s">
        <v>359</v>
      </c>
      <c r="C169" t="s">
        <v>255</v>
      </c>
      <c r="D169" t="s">
        <v>327</v>
      </c>
      <c r="E169" t="s">
        <v>328</v>
      </c>
      <c r="F169" t="s">
        <v>301</v>
      </c>
      <c r="G169" s="213">
        <v>109901</v>
      </c>
      <c r="H169" t="s">
        <v>309</v>
      </c>
      <c r="I169">
        <v>201</v>
      </c>
      <c r="J169" t="s">
        <v>336</v>
      </c>
      <c r="K169" t="s">
        <v>304</v>
      </c>
      <c r="L169" t="s">
        <v>305</v>
      </c>
      <c r="M169">
        <v>2503.77</v>
      </c>
      <c r="P169">
        <v>0</v>
      </c>
      <c r="Q169" s="124">
        <f t="shared" si="16"/>
        <v>2503.77</v>
      </c>
      <c r="R169" s="154"/>
    </row>
    <row r="170" spans="1:19" ht="15">
      <c r="A170" s="161" t="s">
        <v>296</v>
      </c>
      <c r="B170" t="s">
        <v>361</v>
      </c>
      <c r="C170" t="s">
        <v>256</v>
      </c>
      <c r="D170" t="s">
        <v>327</v>
      </c>
      <c r="E170" t="s">
        <v>328</v>
      </c>
      <c r="F170" t="s">
        <v>301</v>
      </c>
      <c r="G170">
        <v>101001</v>
      </c>
      <c r="H170" t="s">
        <v>329</v>
      </c>
      <c r="I170">
        <v>201</v>
      </c>
      <c r="J170" t="s">
        <v>304</v>
      </c>
      <c r="K170" t="s">
        <v>304</v>
      </c>
      <c r="L170" t="s">
        <v>305</v>
      </c>
      <c r="M170">
        <v>9504699.8900000006</v>
      </c>
      <c r="P170">
        <v>9330000</v>
      </c>
      <c r="R170" s="154"/>
      <c r="S170" s="73">
        <f t="shared" ref="S170:S194" si="18">M170*$S$7*1.141</f>
        <v>1084486.2574490001</v>
      </c>
    </row>
    <row r="171" spans="1:19" ht="15">
      <c r="A171" s="161" t="s">
        <v>296</v>
      </c>
      <c r="B171" t="s">
        <v>361</v>
      </c>
      <c r="C171" t="s">
        <v>256</v>
      </c>
      <c r="D171" t="s">
        <v>327</v>
      </c>
      <c r="E171" t="s">
        <v>328</v>
      </c>
      <c r="F171" t="s">
        <v>301</v>
      </c>
      <c r="G171">
        <v>101002</v>
      </c>
      <c r="H171" t="s">
        <v>335</v>
      </c>
      <c r="I171">
        <v>201</v>
      </c>
      <c r="J171" t="s">
        <v>304</v>
      </c>
      <c r="K171" t="s">
        <v>304</v>
      </c>
      <c r="L171" t="s">
        <v>305</v>
      </c>
      <c r="M171">
        <v>402543.08</v>
      </c>
      <c r="P171">
        <v>0</v>
      </c>
      <c r="R171" s="154"/>
      <c r="S171" s="73">
        <f t="shared" si="18"/>
        <v>45930.165428000008</v>
      </c>
    </row>
    <row r="172" spans="1:19" ht="15">
      <c r="A172" s="161" t="s">
        <v>296</v>
      </c>
      <c r="B172" t="s">
        <v>361</v>
      </c>
      <c r="C172" t="s">
        <v>256</v>
      </c>
      <c r="D172" t="s">
        <v>327</v>
      </c>
      <c r="E172" t="s">
        <v>328</v>
      </c>
      <c r="F172" t="s">
        <v>301</v>
      </c>
      <c r="G172">
        <v>101039</v>
      </c>
      <c r="H172" t="s">
        <v>312</v>
      </c>
      <c r="I172">
        <v>201</v>
      </c>
      <c r="J172" t="s">
        <v>304</v>
      </c>
      <c r="K172" t="s">
        <v>304</v>
      </c>
      <c r="L172" t="s">
        <v>305</v>
      </c>
      <c r="M172">
        <v>220022.97</v>
      </c>
      <c r="P172">
        <v>0</v>
      </c>
      <c r="R172" s="154"/>
      <c r="S172" s="73">
        <f t="shared" si="18"/>
        <v>25104.620877000001</v>
      </c>
    </row>
    <row r="173" spans="1:19" ht="15">
      <c r="A173" s="161" t="s">
        <v>296</v>
      </c>
      <c r="B173" t="s">
        <v>361</v>
      </c>
      <c r="C173" t="s">
        <v>256</v>
      </c>
      <c r="D173" t="s">
        <v>327</v>
      </c>
      <c r="E173" t="s">
        <v>328</v>
      </c>
      <c r="F173" t="s">
        <v>301</v>
      </c>
      <c r="G173">
        <v>102002</v>
      </c>
      <c r="H173" t="s">
        <v>338</v>
      </c>
      <c r="I173">
        <v>201</v>
      </c>
      <c r="J173" t="s">
        <v>304</v>
      </c>
      <c r="K173" t="s">
        <v>304</v>
      </c>
      <c r="L173" t="s">
        <v>305</v>
      </c>
      <c r="M173">
        <v>13385.24</v>
      </c>
      <c r="P173">
        <v>0</v>
      </c>
      <c r="R173" s="154"/>
      <c r="S173" s="73">
        <f t="shared" si="18"/>
        <v>1527.2558840000002</v>
      </c>
    </row>
    <row r="174" spans="1:19" ht="15">
      <c r="A174" s="161" t="s">
        <v>296</v>
      </c>
      <c r="B174" t="s">
        <v>361</v>
      </c>
      <c r="C174" t="s">
        <v>256</v>
      </c>
      <c r="D174" t="s">
        <v>327</v>
      </c>
      <c r="E174" t="s">
        <v>328</v>
      </c>
      <c r="F174" t="s">
        <v>301</v>
      </c>
      <c r="G174">
        <v>102002</v>
      </c>
      <c r="H174" t="s">
        <v>338</v>
      </c>
      <c r="I174">
        <v>201</v>
      </c>
      <c r="J174" t="s">
        <v>351</v>
      </c>
      <c r="K174" t="s">
        <v>304</v>
      </c>
      <c r="L174" t="s">
        <v>305</v>
      </c>
      <c r="M174">
        <v>8233.2000000000007</v>
      </c>
      <c r="P174">
        <v>0</v>
      </c>
      <c r="R174" s="154"/>
      <c r="S174" s="73">
        <f t="shared" si="18"/>
        <v>939.40812000000017</v>
      </c>
    </row>
    <row r="175" spans="1:19" ht="15">
      <c r="A175" s="161" t="s">
        <v>296</v>
      </c>
      <c r="B175" t="s">
        <v>361</v>
      </c>
      <c r="C175" t="s">
        <v>256</v>
      </c>
      <c r="D175" t="s">
        <v>327</v>
      </c>
      <c r="E175" t="s">
        <v>328</v>
      </c>
      <c r="F175" t="s">
        <v>301</v>
      </c>
      <c r="G175">
        <v>102002</v>
      </c>
      <c r="H175" t="s">
        <v>338</v>
      </c>
      <c r="I175">
        <v>201</v>
      </c>
      <c r="J175" t="s">
        <v>336</v>
      </c>
      <c r="K175" t="s">
        <v>304</v>
      </c>
      <c r="L175" t="s">
        <v>305</v>
      </c>
      <c r="M175">
        <v>31622.55</v>
      </c>
      <c r="P175">
        <v>0</v>
      </c>
      <c r="R175" s="154"/>
      <c r="S175" s="73">
        <f t="shared" si="18"/>
        <v>3608.132955</v>
      </c>
    </row>
    <row r="176" spans="1:19" ht="15">
      <c r="A176" s="161" t="s">
        <v>296</v>
      </c>
      <c r="B176" t="s">
        <v>361</v>
      </c>
      <c r="C176" t="s">
        <v>256</v>
      </c>
      <c r="D176" t="s">
        <v>327</v>
      </c>
      <c r="E176" t="s">
        <v>328</v>
      </c>
      <c r="F176" t="s">
        <v>301</v>
      </c>
      <c r="G176">
        <v>102002</v>
      </c>
      <c r="H176" t="s">
        <v>338</v>
      </c>
      <c r="I176">
        <v>201</v>
      </c>
      <c r="J176" t="s">
        <v>357</v>
      </c>
      <c r="K176" t="s">
        <v>304</v>
      </c>
      <c r="L176" t="s">
        <v>305</v>
      </c>
      <c r="M176">
        <v>9776.1299999999992</v>
      </c>
      <c r="P176">
        <v>0</v>
      </c>
      <c r="R176" s="154"/>
      <c r="S176" s="73">
        <f t="shared" si="18"/>
        <v>1115.4564330000001</v>
      </c>
    </row>
    <row r="177" spans="1:19" ht="15">
      <c r="A177" s="161" t="s">
        <v>296</v>
      </c>
      <c r="B177" t="s">
        <v>361</v>
      </c>
      <c r="C177" t="s">
        <v>256</v>
      </c>
      <c r="D177" t="s">
        <v>327</v>
      </c>
      <c r="E177" t="s">
        <v>328</v>
      </c>
      <c r="F177" t="s">
        <v>301</v>
      </c>
      <c r="G177">
        <v>102003</v>
      </c>
      <c r="H177" t="s">
        <v>339</v>
      </c>
      <c r="I177">
        <v>201</v>
      </c>
      <c r="J177" t="s">
        <v>304</v>
      </c>
      <c r="K177" t="s">
        <v>304</v>
      </c>
      <c r="L177" t="s">
        <v>305</v>
      </c>
      <c r="M177">
        <v>428337.71</v>
      </c>
      <c r="P177">
        <v>317000</v>
      </c>
      <c r="R177" s="154"/>
      <c r="S177" s="73">
        <f t="shared" si="18"/>
        <v>48873.33271100001</v>
      </c>
    </row>
    <row r="178" spans="1:19" ht="15">
      <c r="A178" s="161" t="s">
        <v>296</v>
      </c>
      <c r="B178" t="s">
        <v>361</v>
      </c>
      <c r="C178" t="s">
        <v>256</v>
      </c>
      <c r="D178" t="s">
        <v>327</v>
      </c>
      <c r="E178" t="s">
        <v>328</v>
      </c>
      <c r="F178" t="s">
        <v>301</v>
      </c>
      <c r="G178">
        <v>102003</v>
      </c>
      <c r="H178" t="s">
        <v>339</v>
      </c>
      <c r="I178">
        <v>201</v>
      </c>
      <c r="J178" t="s">
        <v>336</v>
      </c>
      <c r="K178" t="s">
        <v>304</v>
      </c>
      <c r="L178" t="s">
        <v>305</v>
      </c>
      <c r="M178">
        <v>9885.9599999999991</v>
      </c>
      <c r="P178">
        <v>0</v>
      </c>
      <c r="R178" s="154"/>
      <c r="S178" s="73">
        <f t="shared" si="18"/>
        <v>1127.988036</v>
      </c>
    </row>
    <row r="179" spans="1:19" ht="15">
      <c r="A179" s="161" t="s">
        <v>296</v>
      </c>
      <c r="B179" t="s">
        <v>361</v>
      </c>
      <c r="C179" t="s">
        <v>256</v>
      </c>
      <c r="D179" t="s">
        <v>327</v>
      </c>
      <c r="E179" t="s">
        <v>328</v>
      </c>
      <c r="F179" t="s">
        <v>301</v>
      </c>
      <c r="G179">
        <v>102003</v>
      </c>
      <c r="H179" t="s">
        <v>339</v>
      </c>
      <c r="I179">
        <v>201</v>
      </c>
      <c r="J179" t="s">
        <v>357</v>
      </c>
      <c r="K179" t="s">
        <v>304</v>
      </c>
      <c r="L179" t="s">
        <v>305</v>
      </c>
      <c r="M179">
        <v>1647.67</v>
      </c>
      <c r="P179">
        <v>0</v>
      </c>
      <c r="R179" s="154"/>
      <c r="S179" s="73">
        <f t="shared" si="18"/>
        <v>187.99914700000002</v>
      </c>
    </row>
    <row r="180" spans="1:19" ht="15">
      <c r="A180" s="161" t="s">
        <v>296</v>
      </c>
      <c r="B180" t="s">
        <v>361</v>
      </c>
      <c r="C180" t="s">
        <v>256</v>
      </c>
      <c r="D180" t="s">
        <v>327</v>
      </c>
      <c r="E180" t="s">
        <v>328</v>
      </c>
      <c r="F180" t="s">
        <v>301</v>
      </c>
      <c r="G180">
        <v>102005</v>
      </c>
      <c r="H180" t="s">
        <v>340</v>
      </c>
      <c r="I180">
        <v>201</v>
      </c>
      <c r="J180" t="s">
        <v>304</v>
      </c>
      <c r="K180" t="s">
        <v>304</v>
      </c>
      <c r="L180" t="s">
        <v>305</v>
      </c>
      <c r="M180">
        <v>116826.85</v>
      </c>
      <c r="P180">
        <v>16000</v>
      </c>
      <c r="R180" s="154"/>
      <c r="S180" s="73">
        <f t="shared" si="18"/>
        <v>13329.943585000001</v>
      </c>
    </row>
    <row r="181" spans="1:19" ht="15">
      <c r="A181" s="161" t="s">
        <v>296</v>
      </c>
      <c r="B181" t="s">
        <v>361</v>
      </c>
      <c r="C181" t="s">
        <v>256</v>
      </c>
      <c r="D181" t="s">
        <v>327</v>
      </c>
      <c r="E181" t="s">
        <v>328</v>
      </c>
      <c r="F181" t="s">
        <v>301</v>
      </c>
      <c r="G181">
        <v>102062</v>
      </c>
      <c r="H181" t="s">
        <v>341</v>
      </c>
      <c r="I181">
        <v>201</v>
      </c>
      <c r="J181" t="s">
        <v>304</v>
      </c>
      <c r="K181" t="s">
        <v>304</v>
      </c>
      <c r="L181" t="s">
        <v>305</v>
      </c>
      <c r="M181">
        <v>5782.76</v>
      </c>
      <c r="P181">
        <v>0</v>
      </c>
      <c r="R181" s="154"/>
      <c r="S181" s="73">
        <f t="shared" si="18"/>
        <v>659.81291600000009</v>
      </c>
    </row>
    <row r="182" spans="1:19" ht="15">
      <c r="A182" s="161" t="s">
        <v>296</v>
      </c>
      <c r="B182" t="s">
        <v>361</v>
      </c>
      <c r="C182" t="s">
        <v>256</v>
      </c>
      <c r="D182" t="s">
        <v>327</v>
      </c>
      <c r="E182" t="s">
        <v>328</v>
      </c>
      <c r="F182" t="s">
        <v>301</v>
      </c>
      <c r="G182">
        <v>103001</v>
      </c>
      <c r="H182" t="s">
        <v>342</v>
      </c>
      <c r="I182">
        <v>201</v>
      </c>
      <c r="J182" t="s">
        <v>304</v>
      </c>
      <c r="K182" t="s">
        <v>304</v>
      </c>
      <c r="L182" t="s">
        <v>305</v>
      </c>
      <c r="M182">
        <v>4942.99</v>
      </c>
      <c r="P182">
        <v>0</v>
      </c>
      <c r="R182" s="154"/>
      <c r="S182" s="73">
        <f t="shared" si="18"/>
        <v>563.99515899999994</v>
      </c>
    </row>
    <row r="183" spans="1:19" ht="15">
      <c r="A183" s="161" t="s">
        <v>296</v>
      </c>
      <c r="B183" t="s">
        <v>361</v>
      </c>
      <c r="C183" t="s">
        <v>256</v>
      </c>
      <c r="D183" t="s">
        <v>327</v>
      </c>
      <c r="E183" t="s">
        <v>328</v>
      </c>
      <c r="F183" t="s">
        <v>301</v>
      </c>
      <c r="G183">
        <v>103001</v>
      </c>
      <c r="H183" t="s">
        <v>342</v>
      </c>
      <c r="I183">
        <v>201</v>
      </c>
      <c r="J183" t="s">
        <v>351</v>
      </c>
      <c r="K183" t="s">
        <v>304</v>
      </c>
      <c r="L183" t="s">
        <v>305</v>
      </c>
      <c r="M183">
        <v>2044.9</v>
      </c>
      <c r="P183">
        <v>0</v>
      </c>
      <c r="R183" s="154"/>
      <c r="S183" s="73">
        <f t="shared" si="18"/>
        <v>233.32309000000001</v>
      </c>
    </row>
    <row r="184" spans="1:19" ht="15">
      <c r="A184" s="161" t="s">
        <v>296</v>
      </c>
      <c r="B184" t="s">
        <v>361</v>
      </c>
      <c r="C184" t="s">
        <v>256</v>
      </c>
      <c r="D184" t="s">
        <v>327</v>
      </c>
      <c r="E184" t="s">
        <v>328</v>
      </c>
      <c r="F184" t="s">
        <v>301</v>
      </c>
      <c r="G184">
        <v>103001</v>
      </c>
      <c r="H184" t="s">
        <v>342</v>
      </c>
      <c r="I184">
        <v>201</v>
      </c>
      <c r="J184" t="s">
        <v>336</v>
      </c>
      <c r="K184" t="s">
        <v>304</v>
      </c>
      <c r="L184" t="s">
        <v>305</v>
      </c>
      <c r="M184">
        <v>13140.21</v>
      </c>
      <c r="P184">
        <v>0</v>
      </c>
      <c r="R184" s="154"/>
      <c r="S184" s="73">
        <f t="shared" si="18"/>
        <v>1499.297961</v>
      </c>
    </row>
    <row r="185" spans="1:19" ht="15">
      <c r="A185" s="161" t="s">
        <v>296</v>
      </c>
      <c r="B185" t="s">
        <v>361</v>
      </c>
      <c r="C185" t="s">
        <v>256</v>
      </c>
      <c r="D185" t="s">
        <v>327</v>
      </c>
      <c r="E185" t="s">
        <v>328</v>
      </c>
      <c r="F185" t="s">
        <v>301</v>
      </c>
      <c r="G185">
        <v>103001</v>
      </c>
      <c r="H185" t="s">
        <v>342</v>
      </c>
      <c r="I185">
        <v>201</v>
      </c>
      <c r="J185" t="s">
        <v>357</v>
      </c>
      <c r="K185" t="s">
        <v>304</v>
      </c>
      <c r="L185" t="s">
        <v>305</v>
      </c>
      <c r="M185">
        <v>3295.32</v>
      </c>
      <c r="P185">
        <v>0</v>
      </c>
      <c r="R185" s="154"/>
      <c r="S185" s="73">
        <f t="shared" si="18"/>
        <v>375.99601200000006</v>
      </c>
    </row>
    <row r="186" spans="1:19" ht="15">
      <c r="A186" s="161" t="s">
        <v>296</v>
      </c>
      <c r="B186" t="s">
        <v>361</v>
      </c>
      <c r="C186" t="s">
        <v>256</v>
      </c>
      <c r="D186" t="s">
        <v>327</v>
      </c>
      <c r="E186" t="s">
        <v>328</v>
      </c>
      <c r="F186" t="s">
        <v>301</v>
      </c>
      <c r="G186">
        <v>103062</v>
      </c>
      <c r="H186" t="s">
        <v>343</v>
      </c>
      <c r="I186">
        <v>201</v>
      </c>
      <c r="J186" t="s">
        <v>304</v>
      </c>
      <c r="K186" t="s">
        <v>304</v>
      </c>
      <c r="L186" t="s">
        <v>305</v>
      </c>
      <c r="M186">
        <v>716.8</v>
      </c>
      <c r="P186">
        <v>0</v>
      </c>
      <c r="R186" s="154"/>
      <c r="S186" s="73">
        <f t="shared" si="18"/>
        <v>81.786879999999996</v>
      </c>
    </row>
    <row r="187" spans="1:19" ht="15">
      <c r="A187" s="161" t="s">
        <v>296</v>
      </c>
      <c r="B187" t="s">
        <v>361</v>
      </c>
      <c r="C187" t="s">
        <v>256</v>
      </c>
      <c r="D187" t="s">
        <v>327</v>
      </c>
      <c r="E187" t="s">
        <v>328</v>
      </c>
      <c r="F187" t="s">
        <v>301</v>
      </c>
      <c r="G187">
        <v>103069</v>
      </c>
      <c r="H187" t="s">
        <v>344</v>
      </c>
      <c r="I187">
        <v>201</v>
      </c>
      <c r="J187" t="s">
        <v>304</v>
      </c>
      <c r="K187" t="s">
        <v>304</v>
      </c>
      <c r="L187" t="s">
        <v>305</v>
      </c>
      <c r="M187">
        <v>0</v>
      </c>
      <c r="P187">
        <v>0</v>
      </c>
      <c r="R187" s="154"/>
      <c r="S187" s="73">
        <f t="shared" si="18"/>
        <v>0</v>
      </c>
    </row>
    <row r="188" spans="1:19" ht="15">
      <c r="A188" s="161" t="s">
        <v>296</v>
      </c>
      <c r="B188" t="s">
        <v>361</v>
      </c>
      <c r="C188" t="s">
        <v>256</v>
      </c>
      <c r="D188" t="s">
        <v>327</v>
      </c>
      <c r="E188" t="s">
        <v>328</v>
      </c>
      <c r="F188" t="s">
        <v>301</v>
      </c>
      <c r="G188">
        <v>103069</v>
      </c>
      <c r="H188" t="s">
        <v>344</v>
      </c>
      <c r="I188">
        <v>201</v>
      </c>
      <c r="J188" t="s">
        <v>336</v>
      </c>
      <c r="K188" t="s">
        <v>304</v>
      </c>
      <c r="L188" t="s">
        <v>305</v>
      </c>
      <c r="M188">
        <v>12708.24</v>
      </c>
      <c r="P188">
        <v>0</v>
      </c>
      <c r="R188" s="154"/>
      <c r="S188" s="73">
        <f t="shared" si="18"/>
        <v>1450.0101840000002</v>
      </c>
    </row>
    <row r="189" spans="1:19" ht="15">
      <c r="A189" s="161" t="s">
        <v>296</v>
      </c>
      <c r="B189" t="s">
        <v>361</v>
      </c>
      <c r="C189" t="s">
        <v>256</v>
      </c>
      <c r="D189" t="s">
        <v>327</v>
      </c>
      <c r="E189" t="s">
        <v>328</v>
      </c>
      <c r="F189" t="s">
        <v>301</v>
      </c>
      <c r="G189">
        <v>104000</v>
      </c>
      <c r="H189" t="s">
        <v>345</v>
      </c>
      <c r="I189">
        <v>201</v>
      </c>
      <c r="J189" t="s">
        <v>304</v>
      </c>
      <c r="K189" t="s">
        <v>304</v>
      </c>
      <c r="L189" t="s">
        <v>305</v>
      </c>
      <c r="M189">
        <v>64694.47</v>
      </c>
      <c r="P189">
        <v>77000</v>
      </c>
      <c r="R189" s="154"/>
      <c r="S189" s="73">
        <f t="shared" si="18"/>
        <v>7381.6390270000002</v>
      </c>
    </row>
    <row r="190" spans="1:19" ht="15">
      <c r="A190" s="161" t="s">
        <v>296</v>
      </c>
      <c r="B190" t="s">
        <v>361</v>
      </c>
      <c r="C190" t="s">
        <v>256</v>
      </c>
      <c r="D190" t="s">
        <v>327</v>
      </c>
      <c r="E190" t="s">
        <v>328</v>
      </c>
      <c r="F190" t="s">
        <v>301</v>
      </c>
      <c r="G190">
        <v>104000</v>
      </c>
      <c r="H190" t="s">
        <v>345</v>
      </c>
      <c r="I190">
        <v>201</v>
      </c>
      <c r="J190" t="s">
        <v>336</v>
      </c>
      <c r="K190" t="s">
        <v>304</v>
      </c>
      <c r="L190" t="s">
        <v>305</v>
      </c>
      <c r="M190">
        <v>181.19</v>
      </c>
      <c r="P190">
        <v>0</v>
      </c>
      <c r="R190" s="154"/>
      <c r="S190" s="73">
        <f t="shared" si="18"/>
        <v>20.673779</v>
      </c>
    </row>
    <row r="191" spans="1:19" ht="15">
      <c r="A191" s="161" t="s">
        <v>296</v>
      </c>
      <c r="B191" t="s">
        <v>361</v>
      </c>
      <c r="C191" t="s">
        <v>256</v>
      </c>
      <c r="D191" t="s">
        <v>327</v>
      </c>
      <c r="E191" t="s">
        <v>328</v>
      </c>
      <c r="F191" t="s">
        <v>301</v>
      </c>
      <c r="G191">
        <v>105003</v>
      </c>
      <c r="H191" t="s">
        <v>346</v>
      </c>
      <c r="I191">
        <v>201</v>
      </c>
      <c r="J191" t="s">
        <v>304</v>
      </c>
      <c r="K191" t="s">
        <v>304</v>
      </c>
      <c r="L191" t="s">
        <v>305</v>
      </c>
      <c r="M191">
        <v>275824.19</v>
      </c>
      <c r="P191">
        <v>0</v>
      </c>
      <c r="R191" s="154"/>
      <c r="S191" s="73">
        <f t="shared" si="18"/>
        <v>31471.540079000002</v>
      </c>
    </row>
    <row r="192" spans="1:19" ht="15">
      <c r="A192" s="161" t="s">
        <v>296</v>
      </c>
      <c r="B192" t="s">
        <v>361</v>
      </c>
      <c r="C192" t="s">
        <v>256</v>
      </c>
      <c r="D192" t="s">
        <v>327</v>
      </c>
      <c r="E192" t="s">
        <v>328</v>
      </c>
      <c r="F192" t="s">
        <v>301</v>
      </c>
      <c r="G192">
        <v>105019</v>
      </c>
      <c r="H192" t="s">
        <v>348</v>
      </c>
      <c r="I192">
        <v>201</v>
      </c>
      <c r="J192" t="s">
        <v>304</v>
      </c>
      <c r="K192" t="s">
        <v>304</v>
      </c>
      <c r="L192" t="s">
        <v>305</v>
      </c>
      <c r="M192">
        <v>1063.44</v>
      </c>
      <c r="P192">
        <v>0</v>
      </c>
      <c r="R192" s="154"/>
      <c r="S192" s="73">
        <f t="shared" si="18"/>
        <v>121.33850400000001</v>
      </c>
    </row>
    <row r="193" spans="1:19" ht="15">
      <c r="A193" s="161" t="s">
        <v>296</v>
      </c>
      <c r="B193" t="s">
        <v>361</v>
      </c>
      <c r="C193" t="s">
        <v>256</v>
      </c>
      <c r="D193" t="s">
        <v>327</v>
      </c>
      <c r="E193" t="s">
        <v>328</v>
      </c>
      <c r="F193" t="s">
        <v>301</v>
      </c>
      <c r="G193">
        <v>105098</v>
      </c>
      <c r="H193" t="s">
        <v>302</v>
      </c>
      <c r="I193">
        <v>201</v>
      </c>
      <c r="J193" t="s">
        <v>331</v>
      </c>
      <c r="K193" t="s">
        <v>304</v>
      </c>
      <c r="L193" t="s">
        <v>305</v>
      </c>
      <c r="M193">
        <v>-4392</v>
      </c>
      <c r="P193">
        <v>0</v>
      </c>
      <c r="R193" s="154"/>
      <c r="S193" s="73">
        <f t="shared" si="18"/>
        <v>-501.12720000000007</v>
      </c>
    </row>
    <row r="194" spans="1:19" ht="15">
      <c r="A194" s="161" t="s">
        <v>296</v>
      </c>
      <c r="B194" t="s">
        <v>361</v>
      </c>
      <c r="C194" t="s">
        <v>256</v>
      </c>
      <c r="D194" t="s">
        <v>327</v>
      </c>
      <c r="E194" t="s">
        <v>328</v>
      </c>
      <c r="F194" t="s">
        <v>301</v>
      </c>
      <c r="G194">
        <v>105099</v>
      </c>
      <c r="H194" t="s">
        <v>306</v>
      </c>
      <c r="I194">
        <v>201</v>
      </c>
      <c r="J194" t="s">
        <v>332</v>
      </c>
      <c r="K194" t="s">
        <v>304</v>
      </c>
      <c r="L194" t="s">
        <v>305</v>
      </c>
      <c r="M194">
        <v>4392</v>
      </c>
      <c r="P194">
        <v>0</v>
      </c>
      <c r="R194" s="154"/>
      <c r="S194" s="73">
        <f t="shared" si="18"/>
        <v>501.12720000000007</v>
      </c>
    </row>
    <row r="195" spans="1:19" ht="15">
      <c r="A195" s="161" t="s">
        <v>296</v>
      </c>
      <c r="B195" t="s">
        <v>361</v>
      </c>
      <c r="C195" t="s">
        <v>256</v>
      </c>
      <c r="D195" t="s">
        <v>327</v>
      </c>
      <c r="E195" t="s">
        <v>328</v>
      </c>
      <c r="F195" t="s">
        <v>301</v>
      </c>
      <c r="G195" s="213">
        <v>109001</v>
      </c>
      <c r="H195" t="s">
        <v>324</v>
      </c>
      <c r="I195">
        <v>201</v>
      </c>
      <c r="J195" t="s">
        <v>304</v>
      </c>
      <c r="K195" t="s">
        <v>304</v>
      </c>
      <c r="L195" t="s">
        <v>305</v>
      </c>
      <c r="M195">
        <v>997075.04</v>
      </c>
      <c r="P195">
        <v>916000</v>
      </c>
      <c r="Q195" s="124">
        <f t="shared" ref="Q195:Q203" si="19">M195-P195</f>
        <v>81075.040000000037</v>
      </c>
      <c r="R195" s="124">
        <f t="shared" ref="R195:R198" si="20">M195*-1.141</f>
        <v>-1137662.6206400001</v>
      </c>
    </row>
    <row r="196" spans="1:19" ht="15">
      <c r="A196" s="161" t="s">
        <v>296</v>
      </c>
      <c r="B196" t="s">
        <v>361</v>
      </c>
      <c r="C196" t="s">
        <v>256</v>
      </c>
      <c r="D196" t="s">
        <v>327</v>
      </c>
      <c r="E196" t="s">
        <v>328</v>
      </c>
      <c r="F196" t="s">
        <v>301</v>
      </c>
      <c r="G196" s="213">
        <v>109001</v>
      </c>
      <c r="H196" t="s">
        <v>324</v>
      </c>
      <c r="I196">
        <v>201</v>
      </c>
      <c r="J196" t="s">
        <v>351</v>
      </c>
      <c r="K196" t="s">
        <v>304</v>
      </c>
      <c r="L196" t="s">
        <v>305</v>
      </c>
      <c r="M196">
        <v>967.69</v>
      </c>
      <c r="P196">
        <v>0</v>
      </c>
      <c r="Q196" s="124">
        <f t="shared" si="19"/>
        <v>967.69</v>
      </c>
      <c r="R196" s="124">
        <f t="shared" si="20"/>
        <v>-1104.13429</v>
      </c>
    </row>
    <row r="197" spans="1:19" ht="15">
      <c r="A197" s="161" t="s">
        <v>296</v>
      </c>
      <c r="B197" t="s">
        <v>361</v>
      </c>
      <c r="C197" t="s">
        <v>256</v>
      </c>
      <c r="D197" t="s">
        <v>327</v>
      </c>
      <c r="E197" t="s">
        <v>328</v>
      </c>
      <c r="F197" t="s">
        <v>301</v>
      </c>
      <c r="G197" s="213">
        <v>109001</v>
      </c>
      <c r="H197" t="s">
        <v>324</v>
      </c>
      <c r="I197">
        <v>201</v>
      </c>
      <c r="J197" t="s">
        <v>336</v>
      </c>
      <c r="K197" t="s">
        <v>304</v>
      </c>
      <c r="L197" t="s">
        <v>305</v>
      </c>
      <c r="M197">
        <v>5367.88</v>
      </c>
      <c r="P197">
        <v>0</v>
      </c>
      <c r="Q197" s="124">
        <f t="shared" si="19"/>
        <v>5367.88</v>
      </c>
      <c r="R197" s="124">
        <f t="shared" si="20"/>
        <v>-6124.75108</v>
      </c>
    </row>
    <row r="198" spans="1:19" ht="15">
      <c r="A198" s="161" t="s">
        <v>296</v>
      </c>
      <c r="B198" t="s">
        <v>361</v>
      </c>
      <c r="C198" t="s">
        <v>256</v>
      </c>
      <c r="D198" t="s">
        <v>327</v>
      </c>
      <c r="E198" t="s">
        <v>328</v>
      </c>
      <c r="F198" t="s">
        <v>301</v>
      </c>
      <c r="G198" s="213">
        <v>109001</v>
      </c>
      <c r="H198" t="s">
        <v>324</v>
      </c>
      <c r="I198">
        <v>201</v>
      </c>
      <c r="J198" t="s">
        <v>357</v>
      </c>
      <c r="K198" t="s">
        <v>304</v>
      </c>
      <c r="L198" t="s">
        <v>305</v>
      </c>
      <c r="M198">
        <v>1394.74</v>
      </c>
      <c r="P198">
        <v>0</v>
      </c>
      <c r="Q198" s="124">
        <f t="shared" si="19"/>
        <v>1394.74</v>
      </c>
      <c r="R198" s="124">
        <f t="shared" si="20"/>
        <v>-1591.39834</v>
      </c>
    </row>
    <row r="199" spans="1:19" ht="15">
      <c r="A199" s="161" t="s">
        <v>296</v>
      </c>
      <c r="B199" t="s">
        <v>361</v>
      </c>
      <c r="C199" t="s">
        <v>256</v>
      </c>
      <c r="D199" t="s">
        <v>327</v>
      </c>
      <c r="E199" t="s">
        <v>328</v>
      </c>
      <c r="F199" t="s">
        <v>301</v>
      </c>
      <c r="G199" s="213">
        <v>109901</v>
      </c>
      <c r="H199" t="s">
        <v>309</v>
      </c>
      <c r="I199">
        <v>201</v>
      </c>
      <c r="J199" t="s">
        <v>304</v>
      </c>
      <c r="K199" t="s">
        <v>304</v>
      </c>
      <c r="L199" t="s">
        <v>305</v>
      </c>
      <c r="M199">
        <v>1533943.77</v>
      </c>
      <c r="P199">
        <v>1502000</v>
      </c>
      <c r="Q199" s="124">
        <f t="shared" si="19"/>
        <v>31943.770000000019</v>
      </c>
      <c r="R199" s="154"/>
    </row>
    <row r="200" spans="1:19" ht="15">
      <c r="A200" s="161" t="s">
        <v>296</v>
      </c>
      <c r="B200" t="s">
        <v>361</v>
      </c>
      <c r="C200" t="s">
        <v>256</v>
      </c>
      <c r="D200" t="s">
        <v>327</v>
      </c>
      <c r="E200" t="s">
        <v>328</v>
      </c>
      <c r="F200" t="s">
        <v>301</v>
      </c>
      <c r="G200" s="213">
        <v>109901</v>
      </c>
      <c r="H200" t="s">
        <v>309</v>
      </c>
      <c r="I200">
        <v>201</v>
      </c>
      <c r="J200" t="s">
        <v>332</v>
      </c>
      <c r="K200" t="s">
        <v>304</v>
      </c>
      <c r="L200" t="s">
        <v>305</v>
      </c>
      <c r="M200">
        <v>619.32000000000005</v>
      </c>
      <c r="P200">
        <v>0</v>
      </c>
      <c r="Q200" s="124">
        <f t="shared" si="19"/>
        <v>619.32000000000005</v>
      </c>
      <c r="R200" s="154"/>
    </row>
    <row r="201" spans="1:19" ht="15">
      <c r="A201" s="161" t="s">
        <v>296</v>
      </c>
      <c r="B201" t="s">
        <v>361</v>
      </c>
      <c r="C201" t="s">
        <v>256</v>
      </c>
      <c r="D201" t="s">
        <v>327</v>
      </c>
      <c r="E201" t="s">
        <v>328</v>
      </c>
      <c r="F201" t="s">
        <v>301</v>
      </c>
      <c r="G201" s="213">
        <v>109901</v>
      </c>
      <c r="H201" t="s">
        <v>309</v>
      </c>
      <c r="I201">
        <v>201</v>
      </c>
      <c r="J201" t="s">
        <v>351</v>
      </c>
      <c r="K201" t="s">
        <v>304</v>
      </c>
      <c r="L201" t="s">
        <v>305</v>
      </c>
      <c r="M201">
        <v>1585.65</v>
      </c>
      <c r="P201">
        <v>0</v>
      </c>
      <c r="Q201" s="124">
        <f t="shared" si="19"/>
        <v>1585.65</v>
      </c>
      <c r="R201" s="154"/>
    </row>
    <row r="202" spans="1:19" ht="15">
      <c r="A202" s="161" t="s">
        <v>296</v>
      </c>
      <c r="B202" t="s">
        <v>361</v>
      </c>
      <c r="C202" t="s">
        <v>256</v>
      </c>
      <c r="D202" t="s">
        <v>327</v>
      </c>
      <c r="E202" t="s">
        <v>328</v>
      </c>
      <c r="F202" t="s">
        <v>301</v>
      </c>
      <c r="G202" s="213">
        <v>109901</v>
      </c>
      <c r="H202" t="s">
        <v>309</v>
      </c>
      <c r="I202">
        <v>201</v>
      </c>
      <c r="J202" t="s">
        <v>336</v>
      </c>
      <c r="K202" t="s">
        <v>304</v>
      </c>
      <c r="L202" t="s">
        <v>305</v>
      </c>
      <c r="M202">
        <v>10279.76</v>
      </c>
      <c r="P202">
        <v>0</v>
      </c>
      <c r="Q202" s="124">
        <f t="shared" si="19"/>
        <v>10279.76</v>
      </c>
      <c r="R202" s="154"/>
    </row>
    <row r="203" spans="1:19" ht="15">
      <c r="A203" s="161" t="s">
        <v>296</v>
      </c>
      <c r="B203" t="s">
        <v>361</v>
      </c>
      <c r="C203" t="s">
        <v>256</v>
      </c>
      <c r="D203" t="s">
        <v>327</v>
      </c>
      <c r="E203" t="s">
        <v>328</v>
      </c>
      <c r="F203" t="s">
        <v>301</v>
      </c>
      <c r="G203" s="213">
        <v>109901</v>
      </c>
      <c r="H203" t="s">
        <v>309</v>
      </c>
      <c r="I203">
        <v>201</v>
      </c>
      <c r="J203" t="s">
        <v>357</v>
      </c>
      <c r="K203" t="s">
        <v>304</v>
      </c>
      <c r="L203" t="s">
        <v>305</v>
      </c>
      <c r="M203">
        <v>2272.04</v>
      </c>
      <c r="P203">
        <v>0</v>
      </c>
      <c r="Q203" s="124">
        <f t="shared" si="19"/>
        <v>2272.04</v>
      </c>
      <c r="R203" s="154"/>
    </row>
    <row r="204" spans="1:19" ht="15">
      <c r="A204" s="161" t="s">
        <v>296</v>
      </c>
      <c r="B204" t="s">
        <v>362</v>
      </c>
      <c r="C204" t="s">
        <v>257</v>
      </c>
      <c r="D204" t="s">
        <v>327</v>
      </c>
      <c r="E204" t="s">
        <v>328</v>
      </c>
      <c r="F204" t="s">
        <v>301</v>
      </c>
      <c r="G204">
        <v>101001</v>
      </c>
      <c r="H204" t="s">
        <v>329</v>
      </c>
      <c r="I204">
        <v>201</v>
      </c>
      <c r="J204" t="s">
        <v>304</v>
      </c>
      <c r="K204" t="s">
        <v>304</v>
      </c>
      <c r="L204" t="s">
        <v>305</v>
      </c>
      <c r="M204">
        <v>5369627.0800000001</v>
      </c>
      <c r="P204">
        <v>4862000</v>
      </c>
      <c r="R204" s="154"/>
      <c r="S204" s="73">
        <f t="shared" ref="S204:S220" si="21">M204*$S$7*1.141</f>
        <v>612674.44982800004</v>
      </c>
    </row>
    <row r="205" spans="1:19" ht="15">
      <c r="A205" s="161" t="s">
        <v>296</v>
      </c>
      <c r="B205" t="s">
        <v>362</v>
      </c>
      <c r="C205" t="s">
        <v>257</v>
      </c>
      <c r="D205" t="s">
        <v>327</v>
      </c>
      <c r="E205" t="s">
        <v>328</v>
      </c>
      <c r="F205" t="s">
        <v>301</v>
      </c>
      <c r="G205">
        <v>101002</v>
      </c>
      <c r="H205" t="s">
        <v>335</v>
      </c>
      <c r="I205">
        <v>201</v>
      </c>
      <c r="J205" t="s">
        <v>304</v>
      </c>
      <c r="K205" t="s">
        <v>304</v>
      </c>
      <c r="L205" t="s">
        <v>305</v>
      </c>
      <c r="M205">
        <v>836.82</v>
      </c>
      <c r="P205">
        <v>0</v>
      </c>
      <c r="R205" s="154"/>
      <c r="S205" s="73">
        <f t="shared" si="21"/>
        <v>95.481162000000026</v>
      </c>
    </row>
    <row r="206" spans="1:19" ht="15">
      <c r="A206" s="161" t="s">
        <v>296</v>
      </c>
      <c r="B206" t="s">
        <v>362</v>
      </c>
      <c r="C206" t="s">
        <v>257</v>
      </c>
      <c r="D206" t="s">
        <v>327</v>
      </c>
      <c r="E206" t="s">
        <v>328</v>
      </c>
      <c r="F206" t="s">
        <v>301</v>
      </c>
      <c r="G206">
        <v>101039</v>
      </c>
      <c r="H206" t="s">
        <v>312</v>
      </c>
      <c r="I206">
        <v>201</v>
      </c>
      <c r="J206" t="s">
        <v>304</v>
      </c>
      <c r="K206" t="s">
        <v>304</v>
      </c>
      <c r="L206" t="s">
        <v>305</v>
      </c>
      <c r="M206">
        <v>165111.14000000001</v>
      </c>
      <c r="P206">
        <v>0</v>
      </c>
      <c r="R206" s="154"/>
      <c r="S206" s="73">
        <f t="shared" si="21"/>
        <v>18839.181074</v>
      </c>
    </row>
    <row r="207" spans="1:19" ht="15">
      <c r="A207" s="161" t="s">
        <v>296</v>
      </c>
      <c r="B207" t="s">
        <v>362</v>
      </c>
      <c r="C207" t="s">
        <v>257</v>
      </c>
      <c r="D207" t="s">
        <v>327</v>
      </c>
      <c r="E207" t="s">
        <v>328</v>
      </c>
      <c r="F207" t="s">
        <v>301</v>
      </c>
      <c r="G207">
        <v>102002</v>
      </c>
      <c r="H207" t="s">
        <v>338</v>
      </c>
      <c r="I207">
        <v>201</v>
      </c>
      <c r="J207" t="s">
        <v>304</v>
      </c>
      <c r="K207" t="s">
        <v>304</v>
      </c>
      <c r="L207" t="s">
        <v>305</v>
      </c>
      <c r="M207">
        <v>10942.16</v>
      </c>
      <c r="P207">
        <v>0</v>
      </c>
      <c r="R207" s="154"/>
      <c r="S207" s="73">
        <f t="shared" si="21"/>
        <v>1248.5004560000002</v>
      </c>
    </row>
    <row r="208" spans="1:19" ht="15">
      <c r="A208" s="161" t="s">
        <v>296</v>
      </c>
      <c r="B208" t="s">
        <v>362</v>
      </c>
      <c r="C208" t="s">
        <v>257</v>
      </c>
      <c r="D208" t="s">
        <v>327</v>
      </c>
      <c r="E208" t="s">
        <v>328</v>
      </c>
      <c r="F208" t="s">
        <v>301</v>
      </c>
      <c r="G208">
        <v>102003</v>
      </c>
      <c r="H208" t="s">
        <v>339</v>
      </c>
      <c r="I208">
        <v>201</v>
      </c>
      <c r="J208" t="s">
        <v>304</v>
      </c>
      <c r="K208" t="s">
        <v>304</v>
      </c>
      <c r="L208" t="s">
        <v>305</v>
      </c>
      <c r="M208">
        <v>226671.85</v>
      </c>
      <c r="P208">
        <v>241000</v>
      </c>
      <c r="R208" s="154"/>
      <c r="S208" s="73">
        <f t="shared" si="21"/>
        <v>25863.258085000001</v>
      </c>
    </row>
    <row r="209" spans="1:19" ht="15">
      <c r="A209" s="161" t="s">
        <v>296</v>
      </c>
      <c r="B209" t="s">
        <v>362</v>
      </c>
      <c r="C209" t="s">
        <v>257</v>
      </c>
      <c r="D209" t="s">
        <v>327</v>
      </c>
      <c r="E209" t="s">
        <v>328</v>
      </c>
      <c r="F209" t="s">
        <v>301</v>
      </c>
      <c r="G209">
        <v>102005</v>
      </c>
      <c r="H209" t="s">
        <v>340</v>
      </c>
      <c r="I209">
        <v>201</v>
      </c>
      <c r="J209" t="s">
        <v>304</v>
      </c>
      <c r="K209" t="s">
        <v>304</v>
      </c>
      <c r="L209" t="s">
        <v>305</v>
      </c>
      <c r="M209">
        <v>43755.49</v>
      </c>
      <c r="P209">
        <v>20000</v>
      </c>
      <c r="R209" s="154"/>
      <c r="S209" s="73">
        <f t="shared" si="21"/>
        <v>4992.5014090000004</v>
      </c>
    </row>
    <row r="210" spans="1:19" ht="15">
      <c r="A210" s="161" t="s">
        <v>296</v>
      </c>
      <c r="B210" t="s">
        <v>362</v>
      </c>
      <c r="C210" t="s">
        <v>257</v>
      </c>
      <c r="D210" t="s">
        <v>327</v>
      </c>
      <c r="E210" t="s">
        <v>328</v>
      </c>
      <c r="F210" t="s">
        <v>301</v>
      </c>
      <c r="G210">
        <v>102062</v>
      </c>
      <c r="H210" t="s">
        <v>341</v>
      </c>
      <c r="I210">
        <v>201</v>
      </c>
      <c r="J210" t="s">
        <v>304</v>
      </c>
      <c r="K210" t="s">
        <v>304</v>
      </c>
      <c r="L210" t="s">
        <v>305</v>
      </c>
      <c r="M210">
        <v>2157.0300000000002</v>
      </c>
      <c r="P210">
        <v>0</v>
      </c>
      <c r="R210" s="154"/>
      <c r="S210" s="73">
        <f t="shared" si="21"/>
        <v>246.11712300000005</v>
      </c>
    </row>
    <row r="211" spans="1:19" ht="15">
      <c r="A211" s="161" t="s">
        <v>296</v>
      </c>
      <c r="B211" t="s">
        <v>362</v>
      </c>
      <c r="C211" t="s">
        <v>257</v>
      </c>
      <c r="D211" t="s">
        <v>327</v>
      </c>
      <c r="E211" t="s">
        <v>328</v>
      </c>
      <c r="F211" t="s">
        <v>301</v>
      </c>
      <c r="G211">
        <v>103001</v>
      </c>
      <c r="H211" t="s">
        <v>342</v>
      </c>
      <c r="I211">
        <v>201</v>
      </c>
      <c r="J211" t="s">
        <v>304</v>
      </c>
      <c r="K211" t="s">
        <v>304</v>
      </c>
      <c r="L211" t="s">
        <v>305</v>
      </c>
      <c r="M211">
        <v>2635.27</v>
      </c>
      <c r="P211">
        <v>0</v>
      </c>
      <c r="R211" s="154"/>
      <c r="S211" s="73">
        <f t="shared" si="21"/>
        <v>300.68430699999999</v>
      </c>
    </row>
    <row r="212" spans="1:19" ht="15">
      <c r="A212" s="161" t="s">
        <v>296</v>
      </c>
      <c r="B212" t="s">
        <v>362</v>
      </c>
      <c r="C212" t="s">
        <v>257</v>
      </c>
      <c r="D212" t="s">
        <v>327</v>
      </c>
      <c r="E212" t="s">
        <v>328</v>
      </c>
      <c r="F212" t="s">
        <v>301</v>
      </c>
      <c r="G212">
        <v>103001</v>
      </c>
      <c r="H212" t="s">
        <v>342</v>
      </c>
      <c r="I212">
        <v>201</v>
      </c>
      <c r="J212" t="s">
        <v>351</v>
      </c>
      <c r="K212" t="s">
        <v>304</v>
      </c>
      <c r="L212" t="s">
        <v>305</v>
      </c>
      <c r="M212">
        <v>4011.65</v>
      </c>
      <c r="P212">
        <v>0</v>
      </c>
      <c r="R212" s="154"/>
      <c r="S212" s="73">
        <f t="shared" si="21"/>
        <v>457.72926500000005</v>
      </c>
    </row>
    <row r="213" spans="1:19" ht="15">
      <c r="A213" s="161" t="s">
        <v>296</v>
      </c>
      <c r="B213" t="s">
        <v>362</v>
      </c>
      <c r="C213" t="s">
        <v>257</v>
      </c>
      <c r="D213" t="s">
        <v>327</v>
      </c>
      <c r="E213" t="s">
        <v>328</v>
      </c>
      <c r="F213" t="s">
        <v>301</v>
      </c>
      <c r="G213">
        <v>103069</v>
      </c>
      <c r="H213" t="s">
        <v>344</v>
      </c>
      <c r="I213">
        <v>201</v>
      </c>
      <c r="J213" t="s">
        <v>304</v>
      </c>
      <c r="K213" t="s">
        <v>304</v>
      </c>
      <c r="L213" t="s">
        <v>305</v>
      </c>
      <c r="M213">
        <v>4796.53</v>
      </c>
      <c r="P213">
        <v>0</v>
      </c>
      <c r="R213" s="154"/>
      <c r="S213" s="73">
        <f t="shared" si="21"/>
        <v>547.28407300000003</v>
      </c>
    </row>
    <row r="214" spans="1:19" ht="15">
      <c r="A214" s="161" t="s">
        <v>296</v>
      </c>
      <c r="B214" t="s">
        <v>362</v>
      </c>
      <c r="C214" t="s">
        <v>257</v>
      </c>
      <c r="D214" t="s">
        <v>327</v>
      </c>
      <c r="E214" t="s">
        <v>328</v>
      </c>
      <c r="F214" t="s">
        <v>301</v>
      </c>
      <c r="G214">
        <v>104000</v>
      </c>
      <c r="H214" t="s">
        <v>345</v>
      </c>
      <c r="I214">
        <v>201</v>
      </c>
      <c r="J214" t="s">
        <v>304</v>
      </c>
      <c r="K214" t="s">
        <v>304</v>
      </c>
      <c r="L214" t="s">
        <v>305</v>
      </c>
      <c r="M214">
        <v>42063.040000000001</v>
      </c>
      <c r="P214">
        <v>44000</v>
      </c>
      <c r="R214" s="154"/>
      <c r="S214" s="73">
        <f t="shared" si="21"/>
        <v>4799.3928640000004</v>
      </c>
    </row>
    <row r="215" spans="1:19" ht="15">
      <c r="A215" s="161" t="s">
        <v>296</v>
      </c>
      <c r="B215" t="s">
        <v>362</v>
      </c>
      <c r="C215" t="s">
        <v>257</v>
      </c>
      <c r="D215" t="s">
        <v>327</v>
      </c>
      <c r="E215" t="s">
        <v>328</v>
      </c>
      <c r="F215" t="s">
        <v>301</v>
      </c>
      <c r="G215">
        <v>104000</v>
      </c>
      <c r="H215" t="s">
        <v>345</v>
      </c>
      <c r="I215">
        <v>201</v>
      </c>
      <c r="J215" t="s">
        <v>351</v>
      </c>
      <c r="K215" t="s">
        <v>304</v>
      </c>
      <c r="L215" t="s">
        <v>305</v>
      </c>
      <c r="M215">
        <v>298.02999999999997</v>
      </c>
      <c r="P215">
        <v>0</v>
      </c>
      <c r="R215" s="154"/>
      <c r="S215" s="73">
        <f t="shared" si="21"/>
        <v>34.005222999999994</v>
      </c>
    </row>
    <row r="216" spans="1:19" ht="15">
      <c r="A216" s="161" t="s">
        <v>296</v>
      </c>
      <c r="B216" t="s">
        <v>362</v>
      </c>
      <c r="C216" t="s">
        <v>257</v>
      </c>
      <c r="D216" t="s">
        <v>327</v>
      </c>
      <c r="E216" t="s">
        <v>328</v>
      </c>
      <c r="F216" t="s">
        <v>301</v>
      </c>
      <c r="G216">
        <v>105003</v>
      </c>
      <c r="H216" t="s">
        <v>346</v>
      </c>
      <c r="I216">
        <v>201</v>
      </c>
      <c r="J216" t="s">
        <v>304</v>
      </c>
      <c r="K216" t="s">
        <v>304</v>
      </c>
      <c r="L216" t="s">
        <v>305</v>
      </c>
      <c r="M216">
        <v>169222.98</v>
      </c>
      <c r="P216">
        <v>0</v>
      </c>
      <c r="R216" s="154"/>
      <c r="S216" s="73">
        <f t="shared" si="21"/>
        <v>19308.342018000003</v>
      </c>
    </row>
    <row r="217" spans="1:19" ht="15">
      <c r="A217" s="161" t="s">
        <v>296</v>
      </c>
      <c r="B217" t="s">
        <v>362</v>
      </c>
      <c r="C217" t="s">
        <v>257</v>
      </c>
      <c r="D217" t="s">
        <v>327</v>
      </c>
      <c r="E217" t="s">
        <v>328</v>
      </c>
      <c r="F217" t="s">
        <v>301</v>
      </c>
      <c r="G217">
        <v>105010</v>
      </c>
      <c r="H217" t="s">
        <v>347</v>
      </c>
      <c r="I217">
        <v>201</v>
      </c>
      <c r="J217" t="s">
        <v>304</v>
      </c>
      <c r="K217" t="s">
        <v>304</v>
      </c>
      <c r="L217" t="s">
        <v>305</v>
      </c>
      <c r="M217">
        <v>85.64</v>
      </c>
      <c r="P217">
        <v>0</v>
      </c>
      <c r="R217" s="154"/>
      <c r="S217" s="73">
        <f t="shared" si="21"/>
        <v>9.7715239999999994</v>
      </c>
    </row>
    <row r="218" spans="1:19" ht="15">
      <c r="A218" s="161" t="s">
        <v>296</v>
      </c>
      <c r="B218" t="s">
        <v>362</v>
      </c>
      <c r="C218" t="s">
        <v>257</v>
      </c>
      <c r="D218" t="s">
        <v>327</v>
      </c>
      <c r="E218" t="s">
        <v>328</v>
      </c>
      <c r="F218" t="s">
        <v>301</v>
      </c>
      <c r="G218">
        <v>105019</v>
      </c>
      <c r="H218" t="s">
        <v>348</v>
      </c>
      <c r="I218">
        <v>201</v>
      </c>
      <c r="J218" t="s">
        <v>304</v>
      </c>
      <c r="K218" t="s">
        <v>304</v>
      </c>
      <c r="L218" t="s">
        <v>305</v>
      </c>
      <c r="M218">
        <v>1702.39</v>
      </c>
      <c r="P218">
        <v>0</v>
      </c>
      <c r="R218" s="154"/>
      <c r="S218" s="73">
        <f t="shared" si="21"/>
        <v>194.24269900000004</v>
      </c>
    </row>
    <row r="219" spans="1:19" ht="15">
      <c r="A219" s="161" t="s">
        <v>296</v>
      </c>
      <c r="B219" t="s">
        <v>362</v>
      </c>
      <c r="C219" t="s">
        <v>257</v>
      </c>
      <c r="D219" t="s">
        <v>327</v>
      </c>
      <c r="E219" t="s">
        <v>328</v>
      </c>
      <c r="F219" t="s">
        <v>301</v>
      </c>
      <c r="G219">
        <v>105098</v>
      </c>
      <c r="H219" t="s">
        <v>302</v>
      </c>
      <c r="I219">
        <v>201</v>
      </c>
      <c r="J219" t="s">
        <v>331</v>
      </c>
      <c r="K219" t="s">
        <v>304</v>
      </c>
      <c r="L219" t="s">
        <v>305</v>
      </c>
      <c r="M219">
        <v>-6588</v>
      </c>
      <c r="P219">
        <v>0</v>
      </c>
      <c r="R219" s="154"/>
      <c r="S219" s="73">
        <f t="shared" si="21"/>
        <v>-751.69080000000008</v>
      </c>
    </row>
    <row r="220" spans="1:19" ht="15">
      <c r="A220" s="161" t="s">
        <v>296</v>
      </c>
      <c r="B220" t="s">
        <v>362</v>
      </c>
      <c r="C220" t="s">
        <v>257</v>
      </c>
      <c r="D220" t="s">
        <v>327</v>
      </c>
      <c r="E220" t="s">
        <v>328</v>
      </c>
      <c r="F220" t="s">
        <v>301</v>
      </c>
      <c r="G220">
        <v>105099</v>
      </c>
      <c r="H220" t="s">
        <v>306</v>
      </c>
      <c r="I220">
        <v>201</v>
      </c>
      <c r="J220" t="s">
        <v>332</v>
      </c>
      <c r="K220" t="s">
        <v>304</v>
      </c>
      <c r="L220" t="s">
        <v>305</v>
      </c>
      <c r="M220">
        <v>6588</v>
      </c>
      <c r="P220">
        <v>0</v>
      </c>
      <c r="R220" s="154"/>
      <c r="S220" s="73">
        <f t="shared" si="21"/>
        <v>751.69080000000008</v>
      </c>
    </row>
    <row r="221" spans="1:19" ht="15">
      <c r="A221" s="161" t="s">
        <v>296</v>
      </c>
      <c r="B221" t="s">
        <v>362</v>
      </c>
      <c r="C221" t="s">
        <v>257</v>
      </c>
      <c r="D221" t="s">
        <v>327</v>
      </c>
      <c r="E221" t="s">
        <v>328</v>
      </c>
      <c r="F221" t="s">
        <v>301</v>
      </c>
      <c r="G221" s="213">
        <v>109001</v>
      </c>
      <c r="H221" t="s">
        <v>324</v>
      </c>
      <c r="I221">
        <v>201</v>
      </c>
      <c r="J221" t="s">
        <v>304</v>
      </c>
      <c r="K221" t="s">
        <v>304</v>
      </c>
      <c r="L221" t="s">
        <v>305</v>
      </c>
      <c r="M221">
        <v>555101.17000000004</v>
      </c>
      <c r="P221">
        <v>486000</v>
      </c>
      <c r="Q221" s="124">
        <f t="shared" ref="Q221:Q225" si="22">M221-P221</f>
        <v>69101.170000000042</v>
      </c>
      <c r="R221" s="124">
        <f t="shared" ref="R221:R222" si="23">M221*-1.141</f>
        <v>-633370.43497000006</v>
      </c>
    </row>
    <row r="222" spans="1:19" ht="15">
      <c r="A222" s="161" t="s">
        <v>296</v>
      </c>
      <c r="B222" t="s">
        <v>362</v>
      </c>
      <c r="C222" t="s">
        <v>257</v>
      </c>
      <c r="D222" t="s">
        <v>327</v>
      </c>
      <c r="E222" t="s">
        <v>328</v>
      </c>
      <c r="F222" t="s">
        <v>301</v>
      </c>
      <c r="G222" s="213">
        <v>109001</v>
      </c>
      <c r="H222" t="s">
        <v>324</v>
      </c>
      <c r="I222">
        <v>201</v>
      </c>
      <c r="J222" t="s">
        <v>351</v>
      </c>
      <c r="K222" t="s">
        <v>304</v>
      </c>
      <c r="L222" t="s">
        <v>305</v>
      </c>
      <c r="M222">
        <v>380.13</v>
      </c>
      <c r="P222">
        <v>0</v>
      </c>
      <c r="Q222" s="124">
        <f t="shared" si="22"/>
        <v>380.13</v>
      </c>
      <c r="R222" s="124">
        <f t="shared" si="23"/>
        <v>-433.72833000000003</v>
      </c>
    </row>
    <row r="223" spans="1:19" ht="15">
      <c r="A223" s="161" t="s">
        <v>296</v>
      </c>
      <c r="B223" t="s">
        <v>362</v>
      </c>
      <c r="C223" t="s">
        <v>257</v>
      </c>
      <c r="D223" t="s">
        <v>327</v>
      </c>
      <c r="E223" t="s">
        <v>328</v>
      </c>
      <c r="F223" t="s">
        <v>301</v>
      </c>
      <c r="G223" s="213">
        <v>109901</v>
      </c>
      <c r="H223" t="s">
        <v>309</v>
      </c>
      <c r="I223">
        <v>201</v>
      </c>
      <c r="J223" t="s">
        <v>304</v>
      </c>
      <c r="K223" t="s">
        <v>304</v>
      </c>
      <c r="L223" t="s">
        <v>305</v>
      </c>
      <c r="M223">
        <v>815881.21</v>
      </c>
      <c r="P223">
        <v>796000</v>
      </c>
      <c r="Q223" s="124">
        <f t="shared" si="22"/>
        <v>19881.209999999963</v>
      </c>
      <c r="R223" s="154"/>
    </row>
    <row r="224" spans="1:19" ht="15">
      <c r="A224" s="161" t="s">
        <v>296</v>
      </c>
      <c r="B224" t="s">
        <v>362</v>
      </c>
      <c r="C224" t="s">
        <v>257</v>
      </c>
      <c r="D224" t="s">
        <v>327</v>
      </c>
      <c r="E224" t="s">
        <v>328</v>
      </c>
      <c r="F224" t="s">
        <v>301</v>
      </c>
      <c r="G224" s="213">
        <v>109901</v>
      </c>
      <c r="H224" t="s">
        <v>309</v>
      </c>
      <c r="I224">
        <v>201</v>
      </c>
      <c r="J224" t="s">
        <v>332</v>
      </c>
      <c r="K224" t="s">
        <v>304</v>
      </c>
      <c r="L224" t="s">
        <v>305</v>
      </c>
      <c r="M224">
        <v>928.98</v>
      </c>
      <c r="P224">
        <v>0</v>
      </c>
      <c r="Q224" s="124">
        <f t="shared" si="22"/>
        <v>928.98</v>
      </c>
      <c r="R224" s="154"/>
    </row>
    <row r="225" spans="1:19" ht="15">
      <c r="A225" s="161" t="s">
        <v>296</v>
      </c>
      <c r="B225" t="s">
        <v>362</v>
      </c>
      <c r="C225" t="s">
        <v>257</v>
      </c>
      <c r="D225" t="s">
        <v>327</v>
      </c>
      <c r="E225" t="s">
        <v>328</v>
      </c>
      <c r="F225" t="s">
        <v>301</v>
      </c>
      <c r="G225" s="213">
        <v>109901</v>
      </c>
      <c r="H225" t="s">
        <v>309</v>
      </c>
      <c r="I225">
        <v>201</v>
      </c>
      <c r="J225" t="s">
        <v>351</v>
      </c>
      <c r="K225" t="s">
        <v>304</v>
      </c>
      <c r="L225" t="s">
        <v>305</v>
      </c>
      <c r="M225">
        <v>661.27</v>
      </c>
      <c r="P225">
        <v>0</v>
      </c>
      <c r="Q225" s="124">
        <f t="shared" si="22"/>
        <v>661.27</v>
      </c>
      <c r="R225" s="154"/>
    </row>
    <row r="226" spans="1:19" ht="15">
      <c r="A226" s="161" t="s">
        <v>296</v>
      </c>
      <c r="B226" t="s">
        <v>363</v>
      </c>
      <c r="C226" t="s">
        <v>258</v>
      </c>
      <c r="D226" t="s">
        <v>327</v>
      </c>
      <c r="E226" t="s">
        <v>328</v>
      </c>
      <c r="F226" t="s">
        <v>301</v>
      </c>
      <c r="G226">
        <v>101001</v>
      </c>
      <c r="H226" t="s">
        <v>329</v>
      </c>
      <c r="I226">
        <v>201</v>
      </c>
      <c r="J226" t="s">
        <v>304</v>
      </c>
      <c r="K226" t="s">
        <v>304</v>
      </c>
      <c r="L226" t="s">
        <v>305</v>
      </c>
      <c r="M226">
        <v>9063687.8300000001</v>
      </c>
      <c r="P226">
        <v>9246000</v>
      </c>
      <c r="R226" s="154"/>
      <c r="S226" s="73">
        <f t="shared" ref="S226:S249" si="24">M226*$S$7*1.141</f>
        <v>1034166.7814030001</v>
      </c>
    </row>
    <row r="227" spans="1:19" ht="15">
      <c r="A227" s="161" t="s">
        <v>296</v>
      </c>
      <c r="B227" t="s">
        <v>363</v>
      </c>
      <c r="C227" t="s">
        <v>258</v>
      </c>
      <c r="D227" t="s">
        <v>327</v>
      </c>
      <c r="E227" t="s">
        <v>328</v>
      </c>
      <c r="F227" t="s">
        <v>301</v>
      </c>
      <c r="G227">
        <v>101001</v>
      </c>
      <c r="H227" t="s">
        <v>329</v>
      </c>
      <c r="I227">
        <v>201</v>
      </c>
      <c r="J227" t="s">
        <v>334</v>
      </c>
      <c r="K227" t="s">
        <v>304</v>
      </c>
      <c r="L227" t="s">
        <v>305</v>
      </c>
      <c r="M227">
        <v>0</v>
      </c>
      <c r="P227">
        <v>0</v>
      </c>
      <c r="R227" s="154"/>
      <c r="S227" s="73">
        <f t="shared" si="24"/>
        <v>0</v>
      </c>
    </row>
    <row r="228" spans="1:19" ht="15">
      <c r="A228" s="161" t="s">
        <v>296</v>
      </c>
      <c r="B228" t="s">
        <v>363</v>
      </c>
      <c r="C228" t="s">
        <v>258</v>
      </c>
      <c r="D228" t="s">
        <v>327</v>
      </c>
      <c r="E228" t="s">
        <v>328</v>
      </c>
      <c r="F228" t="s">
        <v>301</v>
      </c>
      <c r="G228">
        <v>101002</v>
      </c>
      <c r="H228" t="s">
        <v>335</v>
      </c>
      <c r="I228">
        <v>201</v>
      </c>
      <c r="J228" t="s">
        <v>304</v>
      </c>
      <c r="K228" t="s">
        <v>304</v>
      </c>
      <c r="L228" t="s">
        <v>305</v>
      </c>
      <c r="M228">
        <v>187273.17</v>
      </c>
      <c r="P228">
        <v>0</v>
      </c>
      <c r="R228" s="154"/>
      <c r="S228" s="73">
        <f t="shared" si="24"/>
        <v>21367.868697000002</v>
      </c>
    </row>
    <row r="229" spans="1:19" ht="15">
      <c r="A229" s="161" t="s">
        <v>296</v>
      </c>
      <c r="B229" t="s">
        <v>363</v>
      </c>
      <c r="C229" t="s">
        <v>258</v>
      </c>
      <c r="D229" t="s">
        <v>327</v>
      </c>
      <c r="E229" t="s">
        <v>328</v>
      </c>
      <c r="F229" t="s">
        <v>301</v>
      </c>
      <c r="G229">
        <v>101002</v>
      </c>
      <c r="H229" t="s">
        <v>335</v>
      </c>
      <c r="I229">
        <v>201</v>
      </c>
      <c r="J229" t="s">
        <v>336</v>
      </c>
      <c r="K229" t="s">
        <v>304</v>
      </c>
      <c r="L229" t="s">
        <v>305</v>
      </c>
      <c r="M229">
        <v>12601.58</v>
      </c>
      <c r="P229">
        <v>0</v>
      </c>
      <c r="R229" s="154"/>
      <c r="S229" s="73">
        <f t="shared" si="24"/>
        <v>1437.8402780000001</v>
      </c>
    </row>
    <row r="230" spans="1:19" ht="15">
      <c r="A230" s="161" t="s">
        <v>296</v>
      </c>
      <c r="B230" t="s">
        <v>363</v>
      </c>
      <c r="C230" t="s">
        <v>258</v>
      </c>
      <c r="D230" t="s">
        <v>327</v>
      </c>
      <c r="E230" t="s">
        <v>328</v>
      </c>
      <c r="F230" t="s">
        <v>301</v>
      </c>
      <c r="G230">
        <v>101002</v>
      </c>
      <c r="H230" t="s">
        <v>335</v>
      </c>
      <c r="I230">
        <v>201</v>
      </c>
      <c r="J230" t="s">
        <v>357</v>
      </c>
      <c r="K230" t="s">
        <v>304</v>
      </c>
      <c r="L230" t="s">
        <v>305</v>
      </c>
      <c r="M230">
        <v>1997.39</v>
      </c>
      <c r="P230">
        <v>0</v>
      </c>
      <c r="R230" s="154"/>
      <c r="S230" s="73">
        <f t="shared" si="24"/>
        <v>227.90219900000005</v>
      </c>
    </row>
    <row r="231" spans="1:19" ht="15">
      <c r="A231" s="161" t="s">
        <v>296</v>
      </c>
      <c r="B231" t="s">
        <v>363</v>
      </c>
      <c r="C231" t="s">
        <v>258</v>
      </c>
      <c r="D231" t="s">
        <v>327</v>
      </c>
      <c r="E231" t="s">
        <v>328</v>
      </c>
      <c r="F231" t="s">
        <v>301</v>
      </c>
      <c r="G231">
        <v>101039</v>
      </c>
      <c r="H231" t="s">
        <v>312</v>
      </c>
      <c r="I231">
        <v>201</v>
      </c>
      <c r="J231" t="s">
        <v>304</v>
      </c>
      <c r="K231" t="s">
        <v>304</v>
      </c>
      <c r="L231" t="s">
        <v>305</v>
      </c>
      <c r="M231">
        <v>208096.73</v>
      </c>
      <c r="P231">
        <v>0</v>
      </c>
      <c r="R231" s="154"/>
      <c r="S231" s="73">
        <f t="shared" si="24"/>
        <v>23743.836893000003</v>
      </c>
    </row>
    <row r="232" spans="1:19" ht="15">
      <c r="A232" s="161" t="s">
        <v>296</v>
      </c>
      <c r="B232" t="s">
        <v>363</v>
      </c>
      <c r="C232" t="s">
        <v>258</v>
      </c>
      <c r="D232" t="s">
        <v>327</v>
      </c>
      <c r="E232" t="s">
        <v>328</v>
      </c>
      <c r="F232" t="s">
        <v>301</v>
      </c>
      <c r="G232">
        <v>101039</v>
      </c>
      <c r="H232" t="s">
        <v>312</v>
      </c>
      <c r="I232">
        <v>201</v>
      </c>
      <c r="J232" t="s">
        <v>334</v>
      </c>
      <c r="K232" t="s">
        <v>304</v>
      </c>
      <c r="L232" t="s">
        <v>305</v>
      </c>
      <c r="M232">
        <v>0</v>
      </c>
      <c r="P232">
        <v>0</v>
      </c>
      <c r="R232" s="154"/>
      <c r="S232" s="73">
        <f t="shared" si="24"/>
        <v>0</v>
      </c>
    </row>
    <row r="233" spans="1:19" ht="15">
      <c r="A233" s="161" t="s">
        <v>296</v>
      </c>
      <c r="B233" t="s">
        <v>363</v>
      </c>
      <c r="C233" t="s">
        <v>258</v>
      </c>
      <c r="D233" t="s">
        <v>327</v>
      </c>
      <c r="E233" t="s">
        <v>328</v>
      </c>
      <c r="F233" t="s">
        <v>301</v>
      </c>
      <c r="G233">
        <v>101039</v>
      </c>
      <c r="H233" t="s">
        <v>312</v>
      </c>
      <c r="I233">
        <v>201</v>
      </c>
      <c r="J233" t="s">
        <v>350</v>
      </c>
      <c r="K233" t="s">
        <v>304</v>
      </c>
      <c r="L233" t="s">
        <v>305</v>
      </c>
      <c r="M233">
        <v>41123.99</v>
      </c>
      <c r="P233">
        <v>49000</v>
      </c>
      <c r="R233" s="154"/>
      <c r="S233" s="73">
        <f t="shared" si="24"/>
        <v>4692.2472590000007</v>
      </c>
    </row>
    <row r="234" spans="1:19" ht="15">
      <c r="A234" s="161" t="s">
        <v>296</v>
      </c>
      <c r="B234" t="s">
        <v>363</v>
      </c>
      <c r="C234" t="s">
        <v>258</v>
      </c>
      <c r="D234" t="s">
        <v>327</v>
      </c>
      <c r="E234" t="s">
        <v>328</v>
      </c>
      <c r="F234" t="s">
        <v>301</v>
      </c>
      <c r="G234">
        <v>102002</v>
      </c>
      <c r="H234" t="s">
        <v>338</v>
      </c>
      <c r="I234">
        <v>201</v>
      </c>
      <c r="J234" t="s">
        <v>304</v>
      </c>
      <c r="K234" t="s">
        <v>304</v>
      </c>
      <c r="L234" t="s">
        <v>305</v>
      </c>
      <c r="M234">
        <v>18509.68</v>
      </c>
      <c r="P234">
        <v>0</v>
      </c>
      <c r="R234" s="154"/>
      <c r="S234" s="73">
        <f t="shared" si="24"/>
        <v>2111.9544880000003</v>
      </c>
    </row>
    <row r="235" spans="1:19" ht="15">
      <c r="A235" s="161" t="s">
        <v>296</v>
      </c>
      <c r="B235" t="s">
        <v>363</v>
      </c>
      <c r="C235" t="s">
        <v>258</v>
      </c>
      <c r="D235" t="s">
        <v>327</v>
      </c>
      <c r="E235" t="s">
        <v>328</v>
      </c>
      <c r="F235" t="s">
        <v>301</v>
      </c>
      <c r="G235">
        <v>102002</v>
      </c>
      <c r="H235" t="s">
        <v>338</v>
      </c>
      <c r="I235">
        <v>201</v>
      </c>
      <c r="J235" t="s">
        <v>336</v>
      </c>
      <c r="K235" t="s">
        <v>304</v>
      </c>
      <c r="L235" t="s">
        <v>305</v>
      </c>
      <c r="M235">
        <v>16596.37</v>
      </c>
      <c r="P235">
        <v>0</v>
      </c>
      <c r="R235" s="154"/>
      <c r="S235" s="73">
        <f t="shared" si="24"/>
        <v>1893.6458169999999</v>
      </c>
    </row>
    <row r="236" spans="1:19" ht="15">
      <c r="A236" s="161" t="s">
        <v>296</v>
      </c>
      <c r="B236" t="s">
        <v>363</v>
      </c>
      <c r="C236" t="s">
        <v>258</v>
      </c>
      <c r="D236" t="s">
        <v>327</v>
      </c>
      <c r="E236" t="s">
        <v>328</v>
      </c>
      <c r="F236" t="s">
        <v>301</v>
      </c>
      <c r="G236">
        <v>102002</v>
      </c>
      <c r="H236" t="s">
        <v>338</v>
      </c>
      <c r="I236">
        <v>201</v>
      </c>
      <c r="J236" t="s">
        <v>364</v>
      </c>
      <c r="K236" t="s">
        <v>304</v>
      </c>
      <c r="L236" t="s">
        <v>305</v>
      </c>
      <c r="M236">
        <v>7360.91</v>
      </c>
      <c r="P236">
        <v>0</v>
      </c>
      <c r="R236" s="154"/>
      <c r="S236" s="73">
        <f t="shared" si="24"/>
        <v>839.87983099999997</v>
      </c>
    </row>
    <row r="237" spans="1:19" ht="15">
      <c r="A237" s="161" t="s">
        <v>296</v>
      </c>
      <c r="B237" t="s">
        <v>363</v>
      </c>
      <c r="C237" t="s">
        <v>258</v>
      </c>
      <c r="D237" t="s">
        <v>327</v>
      </c>
      <c r="E237" t="s">
        <v>328</v>
      </c>
      <c r="F237" t="s">
        <v>301</v>
      </c>
      <c r="G237">
        <v>102002</v>
      </c>
      <c r="H237" t="s">
        <v>338</v>
      </c>
      <c r="I237">
        <v>201</v>
      </c>
      <c r="J237" t="s">
        <v>352</v>
      </c>
      <c r="K237" t="s">
        <v>304</v>
      </c>
      <c r="L237" t="s">
        <v>305</v>
      </c>
      <c r="M237">
        <v>17135.830000000002</v>
      </c>
      <c r="P237">
        <v>0</v>
      </c>
      <c r="R237" s="154"/>
      <c r="S237" s="73">
        <f t="shared" si="24"/>
        <v>1955.1982030000004</v>
      </c>
    </row>
    <row r="238" spans="1:19" ht="15">
      <c r="A238" s="161" t="s">
        <v>296</v>
      </c>
      <c r="B238" t="s">
        <v>363</v>
      </c>
      <c r="C238" t="s">
        <v>258</v>
      </c>
      <c r="D238" t="s">
        <v>327</v>
      </c>
      <c r="E238" t="s">
        <v>328</v>
      </c>
      <c r="F238" t="s">
        <v>301</v>
      </c>
      <c r="G238">
        <v>102003</v>
      </c>
      <c r="H238" t="s">
        <v>339</v>
      </c>
      <c r="I238">
        <v>201</v>
      </c>
      <c r="J238" t="s">
        <v>304</v>
      </c>
      <c r="K238" t="s">
        <v>304</v>
      </c>
      <c r="L238" t="s">
        <v>305</v>
      </c>
      <c r="M238">
        <v>445258.19</v>
      </c>
      <c r="P238">
        <v>254000</v>
      </c>
      <c r="R238" s="154"/>
      <c r="S238" s="73">
        <f t="shared" si="24"/>
        <v>50803.959479000005</v>
      </c>
    </row>
    <row r="239" spans="1:19" ht="15">
      <c r="A239" s="161" t="s">
        <v>296</v>
      </c>
      <c r="B239" t="s">
        <v>363</v>
      </c>
      <c r="C239" t="s">
        <v>258</v>
      </c>
      <c r="D239" t="s">
        <v>327</v>
      </c>
      <c r="E239" t="s">
        <v>328</v>
      </c>
      <c r="F239" t="s">
        <v>301</v>
      </c>
      <c r="G239">
        <v>102003</v>
      </c>
      <c r="H239" t="s">
        <v>339</v>
      </c>
      <c r="I239">
        <v>201</v>
      </c>
      <c r="J239" t="s">
        <v>336</v>
      </c>
      <c r="K239" t="s">
        <v>304</v>
      </c>
      <c r="L239" t="s">
        <v>305</v>
      </c>
      <c r="M239">
        <v>2100.2600000000002</v>
      </c>
      <c r="P239">
        <v>0</v>
      </c>
      <c r="R239" s="154"/>
      <c r="S239" s="73">
        <f t="shared" si="24"/>
        <v>239.63966600000003</v>
      </c>
    </row>
    <row r="240" spans="1:19" ht="15">
      <c r="A240" s="161" t="s">
        <v>296</v>
      </c>
      <c r="B240" t="s">
        <v>363</v>
      </c>
      <c r="C240" t="s">
        <v>258</v>
      </c>
      <c r="D240" t="s">
        <v>327</v>
      </c>
      <c r="E240" t="s">
        <v>328</v>
      </c>
      <c r="F240" t="s">
        <v>301</v>
      </c>
      <c r="G240">
        <v>102005</v>
      </c>
      <c r="H240" t="s">
        <v>340</v>
      </c>
      <c r="I240">
        <v>201</v>
      </c>
      <c r="J240" t="s">
        <v>304</v>
      </c>
      <c r="K240" t="s">
        <v>304</v>
      </c>
      <c r="L240" t="s">
        <v>305</v>
      </c>
      <c r="M240">
        <v>87830.46</v>
      </c>
      <c r="P240">
        <v>0</v>
      </c>
      <c r="R240" s="154"/>
      <c r="S240" s="73">
        <f t="shared" si="24"/>
        <v>10021.455486000001</v>
      </c>
    </row>
    <row r="241" spans="1:19" ht="15">
      <c r="A241" s="161" t="s">
        <v>296</v>
      </c>
      <c r="B241" t="s">
        <v>363</v>
      </c>
      <c r="C241" t="s">
        <v>258</v>
      </c>
      <c r="D241" t="s">
        <v>327</v>
      </c>
      <c r="E241" t="s">
        <v>328</v>
      </c>
      <c r="F241" t="s">
        <v>301</v>
      </c>
      <c r="G241">
        <v>102062</v>
      </c>
      <c r="H241" t="s">
        <v>341</v>
      </c>
      <c r="I241">
        <v>201</v>
      </c>
      <c r="J241" t="s">
        <v>304</v>
      </c>
      <c r="K241" t="s">
        <v>304</v>
      </c>
      <c r="L241" t="s">
        <v>305</v>
      </c>
      <c r="M241">
        <v>4230.8500000000004</v>
      </c>
      <c r="P241">
        <v>0</v>
      </c>
      <c r="R241" s="154"/>
      <c r="S241" s="73">
        <f t="shared" si="24"/>
        <v>482.73998500000005</v>
      </c>
    </row>
    <row r="242" spans="1:19" ht="15">
      <c r="A242" s="161" t="s">
        <v>296</v>
      </c>
      <c r="B242" t="s">
        <v>363</v>
      </c>
      <c r="C242" t="s">
        <v>258</v>
      </c>
      <c r="D242" t="s">
        <v>327</v>
      </c>
      <c r="E242" t="s">
        <v>328</v>
      </c>
      <c r="F242" t="s">
        <v>301</v>
      </c>
      <c r="G242">
        <v>103062</v>
      </c>
      <c r="H242" t="s">
        <v>343</v>
      </c>
      <c r="I242">
        <v>201</v>
      </c>
      <c r="J242" t="s">
        <v>304</v>
      </c>
      <c r="K242" t="s">
        <v>304</v>
      </c>
      <c r="L242" t="s">
        <v>305</v>
      </c>
      <c r="M242">
        <v>215.04</v>
      </c>
      <c r="P242">
        <v>0</v>
      </c>
      <c r="R242" s="154"/>
      <c r="S242" s="73">
        <f t="shared" si="24"/>
        <v>24.536064000000003</v>
      </c>
    </row>
    <row r="243" spans="1:19" ht="15">
      <c r="A243" s="161" t="s">
        <v>296</v>
      </c>
      <c r="B243" t="s">
        <v>363</v>
      </c>
      <c r="C243" t="s">
        <v>258</v>
      </c>
      <c r="D243" t="s">
        <v>327</v>
      </c>
      <c r="E243" t="s">
        <v>328</v>
      </c>
      <c r="F243" t="s">
        <v>301</v>
      </c>
      <c r="G243">
        <v>103069</v>
      </c>
      <c r="H243" t="s">
        <v>344</v>
      </c>
      <c r="I243">
        <v>201</v>
      </c>
      <c r="J243" t="s">
        <v>304</v>
      </c>
      <c r="K243" t="s">
        <v>304</v>
      </c>
      <c r="L243" t="s">
        <v>305</v>
      </c>
      <c r="M243">
        <v>10532.44</v>
      </c>
      <c r="P243">
        <v>0</v>
      </c>
      <c r="R243" s="154"/>
      <c r="S243" s="73">
        <f t="shared" si="24"/>
        <v>1201.7514040000001</v>
      </c>
    </row>
    <row r="244" spans="1:19" ht="15">
      <c r="A244" s="161" t="s">
        <v>296</v>
      </c>
      <c r="B244" t="s">
        <v>363</v>
      </c>
      <c r="C244" t="s">
        <v>258</v>
      </c>
      <c r="D244" t="s">
        <v>327</v>
      </c>
      <c r="E244" t="s">
        <v>328</v>
      </c>
      <c r="F244" t="s">
        <v>301</v>
      </c>
      <c r="G244">
        <v>104000</v>
      </c>
      <c r="H244" t="s">
        <v>345</v>
      </c>
      <c r="I244">
        <v>201</v>
      </c>
      <c r="J244" t="s">
        <v>304</v>
      </c>
      <c r="K244" t="s">
        <v>304</v>
      </c>
      <c r="L244" t="s">
        <v>305</v>
      </c>
      <c r="M244">
        <v>60197.85</v>
      </c>
      <c r="P244">
        <v>79000</v>
      </c>
      <c r="R244" s="154"/>
      <c r="S244" s="73">
        <f t="shared" si="24"/>
        <v>6868.5746849999996</v>
      </c>
    </row>
    <row r="245" spans="1:19" ht="15">
      <c r="A245" s="161" t="s">
        <v>296</v>
      </c>
      <c r="B245" t="s">
        <v>363</v>
      </c>
      <c r="C245" t="s">
        <v>258</v>
      </c>
      <c r="D245" t="s">
        <v>327</v>
      </c>
      <c r="E245" t="s">
        <v>328</v>
      </c>
      <c r="F245" t="s">
        <v>301</v>
      </c>
      <c r="G245">
        <v>104000</v>
      </c>
      <c r="H245" t="s">
        <v>345</v>
      </c>
      <c r="I245">
        <v>201</v>
      </c>
      <c r="J245" t="s">
        <v>352</v>
      </c>
      <c r="K245" t="s">
        <v>304</v>
      </c>
      <c r="L245" t="s">
        <v>305</v>
      </c>
      <c r="M245">
        <v>1421.86</v>
      </c>
      <c r="P245">
        <v>0</v>
      </c>
      <c r="R245" s="154"/>
      <c r="S245" s="73">
        <f t="shared" si="24"/>
        <v>162.23422600000001</v>
      </c>
    </row>
    <row r="246" spans="1:19" ht="15">
      <c r="A246" s="161" t="s">
        <v>296</v>
      </c>
      <c r="B246" t="s">
        <v>363</v>
      </c>
      <c r="C246" t="s">
        <v>258</v>
      </c>
      <c r="D246" t="s">
        <v>327</v>
      </c>
      <c r="E246" t="s">
        <v>328</v>
      </c>
      <c r="F246" t="s">
        <v>301</v>
      </c>
      <c r="G246">
        <v>105003</v>
      </c>
      <c r="H246" t="s">
        <v>346</v>
      </c>
      <c r="I246">
        <v>201</v>
      </c>
      <c r="J246" t="s">
        <v>304</v>
      </c>
      <c r="K246" t="s">
        <v>304</v>
      </c>
      <c r="L246" t="s">
        <v>305</v>
      </c>
      <c r="M246">
        <v>170065.95</v>
      </c>
      <c r="P246">
        <v>0</v>
      </c>
      <c r="R246" s="154"/>
      <c r="S246" s="73">
        <f t="shared" si="24"/>
        <v>19404.524895000002</v>
      </c>
    </row>
    <row r="247" spans="1:19" ht="15">
      <c r="A247" s="161" t="s">
        <v>296</v>
      </c>
      <c r="B247" t="s">
        <v>363</v>
      </c>
      <c r="C247" t="s">
        <v>258</v>
      </c>
      <c r="D247" t="s">
        <v>327</v>
      </c>
      <c r="E247" t="s">
        <v>328</v>
      </c>
      <c r="F247" t="s">
        <v>301</v>
      </c>
      <c r="G247">
        <v>105010</v>
      </c>
      <c r="H247" t="s">
        <v>347</v>
      </c>
      <c r="I247">
        <v>201</v>
      </c>
      <c r="J247" t="s">
        <v>304</v>
      </c>
      <c r="K247" t="s">
        <v>304</v>
      </c>
      <c r="L247" t="s">
        <v>305</v>
      </c>
      <c r="M247">
        <v>1405.56</v>
      </c>
      <c r="P247">
        <v>0</v>
      </c>
      <c r="R247" s="154"/>
      <c r="S247" s="73">
        <f t="shared" si="24"/>
        <v>160.37439600000002</v>
      </c>
    </row>
    <row r="248" spans="1:19" ht="15">
      <c r="A248" s="161" t="s">
        <v>296</v>
      </c>
      <c r="B248" t="s">
        <v>363</v>
      </c>
      <c r="C248" t="s">
        <v>258</v>
      </c>
      <c r="D248" t="s">
        <v>327</v>
      </c>
      <c r="E248" t="s">
        <v>328</v>
      </c>
      <c r="F248" t="s">
        <v>301</v>
      </c>
      <c r="G248">
        <v>105019</v>
      </c>
      <c r="H248" t="s">
        <v>348</v>
      </c>
      <c r="I248">
        <v>201</v>
      </c>
      <c r="J248" t="s">
        <v>304</v>
      </c>
      <c r="K248" t="s">
        <v>304</v>
      </c>
      <c r="L248" t="s">
        <v>305</v>
      </c>
      <c r="M248">
        <v>5057.08</v>
      </c>
      <c r="P248">
        <v>0</v>
      </c>
      <c r="R248" s="154"/>
      <c r="S248" s="73">
        <f t="shared" si="24"/>
        <v>577.01282800000001</v>
      </c>
    </row>
    <row r="249" spans="1:19" ht="15">
      <c r="A249" s="161" t="s">
        <v>296</v>
      </c>
      <c r="B249" t="s">
        <v>363</v>
      </c>
      <c r="C249" t="s">
        <v>258</v>
      </c>
      <c r="D249" t="s">
        <v>327</v>
      </c>
      <c r="E249" t="s">
        <v>328</v>
      </c>
      <c r="F249" t="s">
        <v>301</v>
      </c>
      <c r="G249">
        <v>105019</v>
      </c>
      <c r="H249" t="s">
        <v>348</v>
      </c>
      <c r="I249">
        <v>201</v>
      </c>
      <c r="J249" t="s">
        <v>336</v>
      </c>
      <c r="K249" t="s">
        <v>304</v>
      </c>
      <c r="L249" t="s">
        <v>305</v>
      </c>
      <c r="M249">
        <v>268.66000000000003</v>
      </c>
      <c r="P249">
        <v>0</v>
      </c>
      <c r="R249" s="154"/>
      <c r="S249" s="73">
        <f t="shared" si="24"/>
        <v>30.654106000000002</v>
      </c>
    </row>
    <row r="250" spans="1:19" ht="15">
      <c r="A250" s="161" t="s">
        <v>296</v>
      </c>
      <c r="B250" t="s">
        <v>363</v>
      </c>
      <c r="C250" t="s">
        <v>258</v>
      </c>
      <c r="D250" t="s">
        <v>327</v>
      </c>
      <c r="E250" t="s">
        <v>328</v>
      </c>
      <c r="F250" t="s">
        <v>301</v>
      </c>
      <c r="G250" s="213">
        <v>109001</v>
      </c>
      <c r="H250" t="s">
        <v>324</v>
      </c>
      <c r="I250">
        <v>201</v>
      </c>
      <c r="J250" t="s">
        <v>304</v>
      </c>
      <c r="K250" t="s">
        <v>304</v>
      </c>
      <c r="L250" t="s">
        <v>305</v>
      </c>
      <c r="M250">
        <v>922324.71</v>
      </c>
      <c r="P250">
        <v>901000</v>
      </c>
      <c r="Q250" s="124">
        <f t="shared" ref="Q250:Q261" si="25">M250-P250</f>
        <v>21324.709999999963</v>
      </c>
      <c r="R250" s="124">
        <f t="shared" ref="R250:R254" si="26">M250*-1.141</f>
        <v>-1052372.4941100001</v>
      </c>
    </row>
    <row r="251" spans="1:19" ht="15">
      <c r="A251" s="161" t="s">
        <v>296</v>
      </c>
      <c r="B251" t="s">
        <v>363</v>
      </c>
      <c r="C251" t="s">
        <v>258</v>
      </c>
      <c r="D251" t="s">
        <v>327</v>
      </c>
      <c r="E251" t="s">
        <v>328</v>
      </c>
      <c r="F251" t="s">
        <v>301</v>
      </c>
      <c r="G251" s="213">
        <v>109001</v>
      </c>
      <c r="H251" t="s">
        <v>324</v>
      </c>
      <c r="I251">
        <v>201</v>
      </c>
      <c r="J251" t="s">
        <v>334</v>
      </c>
      <c r="K251" t="s">
        <v>304</v>
      </c>
      <c r="L251" t="s">
        <v>305</v>
      </c>
      <c r="M251">
        <v>0</v>
      </c>
      <c r="P251">
        <v>0</v>
      </c>
      <c r="Q251" s="124">
        <f t="shared" si="25"/>
        <v>0</v>
      </c>
      <c r="R251" s="124">
        <f t="shared" si="26"/>
        <v>0</v>
      </c>
    </row>
    <row r="252" spans="1:19" ht="15">
      <c r="A252" s="161" t="s">
        <v>296</v>
      </c>
      <c r="B252" t="s">
        <v>363</v>
      </c>
      <c r="C252" t="s">
        <v>258</v>
      </c>
      <c r="D252" t="s">
        <v>327</v>
      </c>
      <c r="E252" t="s">
        <v>328</v>
      </c>
      <c r="F252" t="s">
        <v>301</v>
      </c>
      <c r="G252" s="213">
        <v>109001</v>
      </c>
      <c r="H252" t="s">
        <v>324</v>
      </c>
      <c r="I252">
        <v>201</v>
      </c>
      <c r="J252" t="s">
        <v>364</v>
      </c>
      <c r="K252" t="s">
        <v>304</v>
      </c>
      <c r="L252" t="s">
        <v>305</v>
      </c>
      <c r="M252">
        <v>300.5</v>
      </c>
      <c r="P252">
        <v>0</v>
      </c>
      <c r="Q252" s="124">
        <f t="shared" si="25"/>
        <v>300.5</v>
      </c>
      <c r="R252" s="124">
        <f t="shared" si="26"/>
        <v>-342.87049999999999</v>
      </c>
    </row>
    <row r="253" spans="1:19" ht="15">
      <c r="A253" s="161" t="s">
        <v>296</v>
      </c>
      <c r="B253" t="s">
        <v>363</v>
      </c>
      <c r="C253" t="s">
        <v>258</v>
      </c>
      <c r="D253" t="s">
        <v>327</v>
      </c>
      <c r="E253" t="s">
        <v>328</v>
      </c>
      <c r="F253" t="s">
        <v>301</v>
      </c>
      <c r="G253" s="213">
        <v>109001</v>
      </c>
      <c r="H253" t="s">
        <v>324</v>
      </c>
      <c r="I253">
        <v>201</v>
      </c>
      <c r="J253" t="s">
        <v>350</v>
      </c>
      <c r="K253" t="s">
        <v>304</v>
      </c>
      <c r="L253" t="s">
        <v>305</v>
      </c>
      <c r="M253">
        <v>3885.23</v>
      </c>
      <c r="P253">
        <v>4000</v>
      </c>
      <c r="Q253" s="124">
        <f t="shared" si="25"/>
        <v>-114.76999999999998</v>
      </c>
      <c r="R253" s="124">
        <f t="shared" si="26"/>
        <v>-4433.0474299999996</v>
      </c>
    </row>
    <row r="254" spans="1:19" ht="15">
      <c r="A254" s="161" t="s">
        <v>296</v>
      </c>
      <c r="B254" t="s">
        <v>363</v>
      </c>
      <c r="C254" t="s">
        <v>258</v>
      </c>
      <c r="D254" t="s">
        <v>327</v>
      </c>
      <c r="E254" t="s">
        <v>328</v>
      </c>
      <c r="F254" t="s">
        <v>301</v>
      </c>
      <c r="G254" s="213">
        <v>109001</v>
      </c>
      <c r="H254" t="s">
        <v>324</v>
      </c>
      <c r="I254">
        <v>201</v>
      </c>
      <c r="J254" t="s">
        <v>352</v>
      </c>
      <c r="K254" t="s">
        <v>304</v>
      </c>
      <c r="L254" t="s">
        <v>305</v>
      </c>
      <c r="M254">
        <v>1028.31</v>
      </c>
      <c r="P254">
        <v>0</v>
      </c>
      <c r="Q254" s="124">
        <f t="shared" si="25"/>
        <v>1028.31</v>
      </c>
      <c r="R254" s="124">
        <f t="shared" si="26"/>
        <v>-1173.30171</v>
      </c>
    </row>
    <row r="255" spans="1:19" ht="15">
      <c r="A255" s="161" t="s">
        <v>296</v>
      </c>
      <c r="B255" t="s">
        <v>363</v>
      </c>
      <c r="C255" t="s">
        <v>258</v>
      </c>
      <c r="D255" t="s">
        <v>327</v>
      </c>
      <c r="E255" t="s">
        <v>328</v>
      </c>
      <c r="F255" t="s">
        <v>301</v>
      </c>
      <c r="G255" s="213">
        <v>109901</v>
      </c>
      <c r="H255" t="s">
        <v>309</v>
      </c>
      <c r="I255">
        <v>201</v>
      </c>
      <c r="J255" t="s">
        <v>304</v>
      </c>
      <c r="K255" t="s">
        <v>304</v>
      </c>
      <c r="L255" t="s">
        <v>305</v>
      </c>
      <c r="M255">
        <v>1489447.52</v>
      </c>
      <c r="P255">
        <v>1477000</v>
      </c>
      <c r="Q255" s="124">
        <f t="shared" si="25"/>
        <v>12447.520000000019</v>
      </c>
      <c r="R255" s="154"/>
    </row>
    <row r="256" spans="1:19" ht="15">
      <c r="A256" s="161" t="s">
        <v>296</v>
      </c>
      <c r="B256" t="s">
        <v>363</v>
      </c>
      <c r="C256" t="s">
        <v>258</v>
      </c>
      <c r="D256" t="s">
        <v>327</v>
      </c>
      <c r="E256" t="s">
        <v>328</v>
      </c>
      <c r="F256" t="s">
        <v>301</v>
      </c>
      <c r="G256" s="213">
        <v>109901</v>
      </c>
      <c r="H256" t="s">
        <v>309</v>
      </c>
      <c r="I256">
        <v>201</v>
      </c>
      <c r="J256" t="s">
        <v>334</v>
      </c>
      <c r="K256" t="s">
        <v>304</v>
      </c>
      <c r="L256" t="s">
        <v>305</v>
      </c>
      <c r="M256">
        <v>0</v>
      </c>
      <c r="P256">
        <v>0</v>
      </c>
      <c r="Q256" s="124">
        <f t="shared" si="25"/>
        <v>0</v>
      </c>
      <c r="R256" s="154"/>
    </row>
    <row r="257" spans="1:19" ht="15">
      <c r="A257" s="161" t="s">
        <v>296</v>
      </c>
      <c r="B257" t="s">
        <v>363</v>
      </c>
      <c r="C257" t="s">
        <v>258</v>
      </c>
      <c r="D257" t="s">
        <v>327</v>
      </c>
      <c r="E257" t="s">
        <v>328</v>
      </c>
      <c r="F257" t="s">
        <v>301</v>
      </c>
      <c r="G257" s="213">
        <v>109901</v>
      </c>
      <c r="H257" t="s">
        <v>309</v>
      </c>
      <c r="I257">
        <v>201</v>
      </c>
      <c r="J257" t="s">
        <v>336</v>
      </c>
      <c r="K257" t="s">
        <v>304</v>
      </c>
      <c r="L257" t="s">
        <v>305</v>
      </c>
      <c r="M257">
        <v>4450.9399999999996</v>
      </c>
      <c r="P257">
        <v>0</v>
      </c>
      <c r="Q257" s="124">
        <f t="shared" si="25"/>
        <v>4450.9399999999996</v>
      </c>
      <c r="R257" s="154"/>
    </row>
    <row r="258" spans="1:19" ht="15">
      <c r="A258" s="161" t="s">
        <v>296</v>
      </c>
      <c r="B258" t="s">
        <v>363</v>
      </c>
      <c r="C258" t="s">
        <v>258</v>
      </c>
      <c r="D258" t="s">
        <v>327</v>
      </c>
      <c r="E258" t="s">
        <v>328</v>
      </c>
      <c r="F258" t="s">
        <v>301</v>
      </c>
      <c r="G258" s="213">
        <v>109901</v>
      </c>
      <c r="H258" t="s">
        <v>309</v>
      </c>
      <c r="I258">
        <v>201</v>
      </c>
      <c r="J258" t="s">
        <v>357</v>
      </c>
      <c r="K258" t="s">
        <v>304</v>
      </c>
      <c r="L258" t="s">
        <v>305</v>
      </c>
      <c r="M258">
        <v>281.63</v>
      </c>
      <c r="P258">
        <v>0</v>
      </c>
      <c r="Q258" s="124">
        <f t="shared" si="25"/>
        <v>281.63</v>
      </c>
      <c r="R258" s="154"/>
    </row>
    <row r="259" spans="1:19" ht="15">
      <c r="A259" s="161" t="s">
        <v>296</v>
      </c>
      <c r="B259" t="s">
        <v>363</v>
      </c>
      <c r="C259" t="s">
        <v>258</v>
      </c>
      <c r="D259" t="s">
        <v>327</v>
      </c>
      <c r="E259" t="s">
        <v>328</v>
      </c>
      <c r="F259" t="s">
        <v>301</v>
      </c>
      <c r="G259" s="213">
        <v>109901</v>
      </c>
      <c r="H259" t="s">
        <v>309</v>
      </c>
      <c r="I259">
        <v>201</v>
      </c>
      <c r="J259" t="s">
        <v>364</v>
      </c>
      <c r="K259" t="s">
        <v>304</v>
      </c>
      <c r="L259" t="s">
        <v>305</v>
      </c>
      <c r="M259">
        <v>1080.27</v>
      </c>
      <c r="P259">
        <v>0</v>
      </c>
      <c r="Q259" s="124">
        <f t="shared" si="25"/>
        <v>1080.27</v>
      </c>
      <c r="R259" s="154"/>
    </row>
    <row r="260" spans="1:19" ht="15">
      <c r="A260" s="161" t="s">
        <v>296</v>
      </c>
      <c r="B260" t="s">
        <v>363</v>
      </c>
      <c r="C260" t="s">
        <v>258</v>
      </c>
      <c r="D260" t="s">
        <v>327</v>
      </c>
      <c r="E260" t="s">
        <v>328</v>
      </c>
      <c r="F260" t="s">
        <v>301</v>
      </c>
      <c r="G260" s="213">
        <v>109901</v>
      </c>
      <c r="H260" t="s">
        <v>309</v>
      </c>
      <c r="I260">
        <v>201</v>
      </c>
      <c r="J260" t="s">
        <v>350</v>
      </c>
      <c r="K260" t="s">
        <v>304</v>
      </c>
      <c r="L260" t="s">
        <v>305</v>
      </c>
      <c r="M260">
        <v>6346.28</v>
      </c>
      <c r="P260">
        <v>8000</v>
      </c>
      <c r="Q260" s="124">
        <f t="shared" si="25"/>
        <v>-1653.7200000000003</v>
      </c>
      <c r="R260" s="154"/>
    </row>
    <row r="261" spans="1:19" ht="15">
      <c r="A261" s="161" t="s">
        <v>296</v>
      </c>
      <c r="B261" t="s">
        <v>363</v>
      </c>
      <c r="C261" t="s">
        <v>258</v>
      </c>
      <c r="D261" t="s">
        <v>327</v>
      </c>
      <c r="E261" t="s">
        <v>328</v>
      </c>
      <c r="F261" t="s">
        <v>301</v>
      </c>
      <c r="G261" s="213">
        <v>109901</v>
      </c>
      <c r="H261" t="s">
        <v>309</v>
      </c>
      <c r="I261">
        <v>201</v>
      </c>
      <c r="J261" t="s">
        <v>352</v>
      </c>
      <c r="K261" t="s">
        <v>304</v>
      </c>
      <c r="L261" t="s">
        <v>305</v>
      </c>
      <c r="M261">
        <v>2761.65</v>
      </c>
      <c r="P261">
        <v>0</v>
      </c>
      <c r="Q261" s="124">
        <f t="shared" si="25"/>
        <v>2761.65</v>
      </c>
      <c r="R261" s="154"/>
    </row>
    <row r="262" spans="1:19" ht="15">
      <c r="A262" s="161" t="s">
        <v>296</v>
      </c>
      <c r="B262" t="s">
        <v>365</v>
      </c>
      <c r="C262" t="s">
        <v>263</v>
      </c>
      <c r="D262" t="s">
        <v>327</v>
      </c>
      <c r="E262" t="s">
        <v>328</v>
      </c>
      <c r="F262" t="s">
        <v>301</v>
      </c>
      <c r="G262">
        <v>101001</v>
      </c>
      <c r="H262" t="s">
        <v>329</v>
      </c>
      <c r="I262">
        <v>201</v>
      </c>
      <c r="J262" t="s">
        <v>304</v>
      </c>
      <c r="K262" t="s">
        <v>304</v>
      </c>
      <c r="L262" t="s">
        <v>305</v>
      </c>
      <c r="M262">
        <v>3702954.45</v>
      </c>
      <c r="P262">
        <v>3740000</v>
      </c>
      <c r="R262" s="154"/>
      <c r="S262" s="73">
        <f t="shared" ref="S262:S278" si="27">M262*$S$7*1.141</f>
        <v>422507.1027450001</v>
      </c>
    </row>
    <row r="263" spans="1:19" ht="15">
      <c r="A263" s="161" t="s">
        <v>296</v>
      </c>
      <c r="B263" t="s">
        <v>365</v>
      </c>
      <c r="C263" t="s">
        <v>263</v>
      </c>
      <c r="D263" t="s">
        <v>327</v>
      </c>
      <c r="E263" t="s">
        <v>328</v>
      </c>
      <c r="F263" t="s">
        <v>301</v>
      </c>
      <c r="G263">
        <v>101002</v>
      </c>
      <c r="H263" t="s">
        <v>335</v>
      </c>
      <c r="I263">
        <v>201</v>
      </c>
      <c r="J263" t="s">
        <v>304</v>
      </c>
      <c r="K263" t="s">
        <v>304</v>
      </c>
      <c r="L263" t="s">
        <v>305</v>
      </c>
      <c r="M263">
        <v>-2740.88</v>
      </c>
      <c r="P263">
        <v>0</v>
      </c>
      <c r="R263" s="154"/>
      <c r="S263" s="73">
        <f t="shared" si="27"/>
        <v>-312.73440800000003</v>
      </c>
    </row>
    <row r="264" spans="1:19" ht="15">
      <c r="A264" s="161" t="s">
        <v>296</v>
      </c>
      <c r="B264" t="s">
        <v>365</v>
      </c>
      <c r="C264" t="s">
        <v>263</v>
      </c>
      <c r="D264" t="s">
        <v>327</v>
      </c>
      <c r="E264" t="s">
        <v>328</v>
      </c>
      <c r="F264" t="s">
        <v>301</v>
      </c>
      <c r="G264">
        <v>101002</v>
      </c>
      <c r="H264" t="s">
        <v>335</v>
      </c>
      <c r="I264">
        <v>201</v>
      </c>
      <c r="J264" t="s">
        <v>336</v>
      </c>
      <c r="K264" t="s">
        <v>304</v>
      </c>
      <c r="L264" t="s">
        <v>305</v>
      </c>
      <c r="M264">
        <v>10796.69</v>
      </c>
      <c r="P264">
        <v>0</v>
      </c>
      <c r="R264" s="154"/>
      <c r="S264" s="73">
        <f t="shared" si="27"/>
        <v>1231.9023290000002</v>
      </c>
    </row>
    <row r="265" spans="1:19" ht="15">
      <c r="A265" s="161" t="s">
        <v>296</v>
      </c>
      <c r="B265" t="s">
        <v>365</v>
      </c>
      <c r="C265" t="s">
        <v>263</v>
      </c>
      <c r="D265" t="s">
        <v>327</v>
      </c>
      <c r="E265" t="s">
        <v>328</v>
      </c>
      <c r="F265" t="s">
        <v>301</v>
      </c>
      <c r="G265">
        <v>101039</v>
      </c>
      <c r="H265" t="s">
        <v>312</v>
      </c>
      <c r="I265">
        <v>201</v>
      </c>
      <c r="J265" t="s">
        <v>304</v>
      </c>
      <c r="K265" t="s">
        <v>304</v>
      </c>
      <c r="L265" t="s">
        <v>305</v>
      </c>
      <c r="M265">
        <v>64731.31</v>
      </c>
      <c r="P265">
        <v>0</v>
      </c>
      <c r="R265" s="154"/>
      <c r="S265" s="73">
        <f t="shared" si="27"/>
        <v>7385.8424710000008</v>
      </c>
    </row>
    <row r="266" spans="1:19" ht="15">
      <c r="A266" s="161" t="s">
        <v>296</v>
      </c>
      <c r="B266" t="s">
        <v>365</v>
      </c>
      <c r="C266" t="s">
        <v>263</v>
      </c>
      <c r="D266" t="s">
        <v>327</v>
      </c>
      <c r="E266" t="s">
        <v>328</v>
      </c>
      <c r="F266" t="s">
        <v>301</v>
      </c>
      <c r="G266">
        <v>102002</v>
      </c>
      <c r="H266" t="s">
        <v>338</v>
      </c>
      <c r="I266">
        <v>201</v>
      </c>
      <c r="J266" t="s">
        <v>304</v>
      </c>
      <c r="K266" t="s">
        <v>304</v>
      </c>
      <c r="L266" t="s">
        <v>305</v>
      </c>
      <c r="M266">
        <v>4131.21</v>
      </c>
      <c r="P266">
        <v>0</v>
      </c>
      <c r="R266" s="154"/>
      <c r="S266" s="73">
        <f t="shared" si="27"/>
        <v>471.37106100000005</v>
      </c>
    </row>
    <row r="267" spans="1:19" ht="15">
      <c r="A267" s="161" t="s">
        <v>296</v>
      </c>
      <c r="B267" t="s">
        <v>365</v>
      </c>
      <c r="C267" t="s">
        <v>263</v>
      </c>
      <c r="D267" t="s">
        <v>327</v>
      </c>
      <c r="E267" t="s">
        <v>328</v>
      </c>
      <c r="F267" t="s">
        <v>301</v>
      </c>
      <c r="G267">
        <v>102002</v>
      </c>
      <c r="H267" t="s">
        <v>338</v>
      </c>
      <c r="I267">
        <v>201</v>
      </c>
      <c r="J267" t="s">
        <v>336</v>
      </c>
      <c r="K267" t="s">
        <v>304</v>
      </c>
      <c r="L267" t="s">
        <v>305</v>
      </c>
      <c r="M267">
        <v>7335.64</v>
      </c>
      <c r="P267">
        <v>0</v>
      </c>
      <c r="R267" s="154"/>
      <c r="S267" s="73">
        <f t="shared" si="27"/>
        <v>836.99652400000014</v>
      </c>
    </row>
    <row r="268" spans="1:19" ht="15">
      <c r="A268" s="161" t="s">
        <v>296</v>
      </c>
      <c r="B268" t="s">
        <v>365</v>
      </c>
      <c r="C268" t="s">
        <v>263</v>
      </c>
      <c r="D268" t="s">
        <v>327</v>
      </c>
      <c r="E268" t="s">
        <v>328</v>
      </c>
      <c r="F268" t="s">
        <v>301</v>
      </c>
      <c r="G268">
        <v>102003</v>
      </c>
      <c r="H268" t="s">
        <v>339</v>
      </c>
      <c r="I268">
        <v>201</v>
      </c>
      <c r="J268" t="s">
        <v>304</v>
      </c>
      <c r="K268" t="s">
        <v>304</v>
      </c>
      <c r="L268" t="s">
        <v>305</v>
      </c>
      <c r="M268">
        <v>327438.88</v>
      </c>
      <c r="P268">
        <v>161000</v>
      </c>
      <c r="R268" s="154"/>
      <c r="S268" s="73">
        <f t="shared" si="27"/>
        <v>37360.776208000003</v>
      </c>
    </row>
    <row r="269" spans="1:19" ht="15">
      <c r="A269" s="161" t="s">
        <v>296</v>
      </c>
      <c r="B269" t="s">
        <v>365</v>
      </c>
      <c r="C269" t="s">
        <v>263</v>
      </c>
      <c r="D269" t="s">
        <v>327</v>
      </c>
      <c r="E269" t="s">
        <v>328</v>
      </c>
      <c r="F269" t="s">
        <v>301</v>
      </c>
      <c r="G269">
        <v>102005</v>
      </c>
      <c r="H269" t="s">
        <v>340</v>
      </c>
      <c r="I269">
        <v>201</v>
      </c>
      <c r="J269" t="s">
        <v>304</v>
      </c>
      <c r="K269" t="s">
        <v>304</v>
      </c>
      <c r="L269" t="s">
        <v>305</v>
      </c>
      <c r="M269">
        <v>46412.12</v>
      </c>
      <c r="P269">
        <v>0</v>
      </c>
      <c r="R269" s="154"/>
      <c r="S269" s="73">
        <f t="shared" si="27"/>
        <v>5295.6228920000003</v>
      </c>
    </row>
    <row r="270" spans="1:19" ht="15">
      <c r="A270" s="161" t="s">
        <v>296</v>
      </c>
      <c r="B270" t="s">
        <v>365</v>
      </c>
      <c r="C270" t="s">
        <v>263</v>
      </c>
      <c r="D270" t="s">
        <v>327</v>
      </c>
      <c r="E270" t="s">
        <v>328</v>
      </c>
      <c r="F270" t="s">
        <v>301</v>
      </c>
      <c r="G270">
        <v>102062</v>
      </c>
      <c r="H270" t="s">
        <v>341</v>
      </c>
      <c r="I270">
        <v>201</v>
      </c>
      <c r="J270" t="s">
        <v>304</v>
      </c>
      <c r="K270" t="s">
        <v>304</v>
      </c>
      <c r="L270" t="s">
        <v>305</v>
      </c>
      <c r="M270">
        <v>2222.08</v>
      </c>
      <c r="P270">
        <v>0</v>
      </c>
      <c r="R270" s="154"/>
      <c r="S270" s="73">
        <f t="shared" si="27"/>
        <v>253.53932800000001</v>
      </c>
    </row>
    <row r="271" spans="1:19" ht="15">
      <c r="A271" s="161" t="s">
        <v>296</v>
      </c>
      <c r="B271" t="s">
        <v>365</v>
      </c>
      <c r="C271" t="s">
        <v>263</v>
      </c>
      <c r="D271" t="s">
        <v>327</v>
      </c>
      <c r="E271" t="s">
        <v>328</v>
      </c>
      <c r="F271" t="s">
        <v>301</v>
      </c>
      <c r="G271">
        <v>103001</v>
      </c>
      <c r="H271" t="s">
        <v>342</v>
      </c>
      <c r="I271">
        <v>201</v>
      </c>
      <c r="J271" t="s">
        <v>304</v>
      </c>
      <c r="K271" t="s">
        <v>304</v>
      </c>
      <c r="L271" t="s">
        <v>305</v>
      </c>
      <c r="M271">
        <v>9472.4599999999991</v>
      </c>
      <c r="P271">
        <v>0</v>
      </c>
      <c r="R271" s="154"/>
      <c r="S271" s="73">
        <f t="shared" si="27"/>
        <v>1080.8076860000001</v>
      </c>
    </row>
    <row r="272" spans="1:19" ht="15">
      <c r="A272" s="161" t="s">
        <v>296</v>
      </c>
      <c r="B272" t="s">
        <v>365</v>
      </c>
      <c r="C272" t="s">
        <v>263</v>
      </c>
      <c r="D272" t="s">
        <v>327</v>
      </c>
      <c r="E272" t="s">
        <v>328</v>
      </c>
      <c r="F272" t="s">
        <v>301</v>
      </c>
      <c r="G272">
        <v>103069</v>
      </c>
      <c r="H272" t="s">
        <v>344</v>
      </c>
      <c r="I272">
        <v>201</v>
      </c>
      <c r="J272" t="s">
        <v>304</v>
      </c>
      <c r="K272" t="s">
        <v>304</v>
      </c>
      <c r="L272" t="s">
        <v>305</v>
      </c>
      <c r="M272">
        <v>4563.8100000000004</v>
      </c>
      <c r="P272">
        <v>0</v>
      </c>
      <c r="R272" s="154"/>
      <c r="S272" s="73">
        <f t="shared" si="27"/>
        <v>520.73072100000013</v>
      </c>
    </row>
    <row r="273" spans="1:19" ht="15">
      <c r="A273" s="161" t="s">
        <v>296</v>
      </c>
      <c r="B273" t="s">
        <v>365</v>
      </c>
      <c r="C273" t="s">
        <v>263</v>
      </c>
      <c r="D273" t="s">
        <v>327</v>
      </c>
      <c r="E273" t="s">
        <v>328</v>
      </c>
      <c r="F273" t="s">
        <v>301</v>
      </c>
      <c r="G273">
        <v>104000</v>
      </c>
      <c r="H273" t="s">
        <v>345</v>
      </c>
      <c r="I273">
        <v>201</v>
      </c>
      <c r="J273" t="s">
        <v>304</v>
      </c>
      <c r="K273" t="s">
        <v>304</v>
      </c>
      <c r="L273" t="s">
        <v>305</v>
      </c>
      <c r="M273">
        <v>29148.38</v>
      </c>
      <c r="P273">
        <v>29000</v>
      </c>
      <c r="R273" s="154"/>
      <c r="S273" s="73">
        <f t="shared" si="27"/>
        <v>3325.8301580000002</v>
      </c>
    </row>
    <row r="274" spans="1:19" ht="15">
      <c r="A274" s="161" t="s">
        <v>296</v>
      </c>
      <c r="B274" t="s">
        <v>365</v>
      </c>
      <c r="C274" t="s">
        <v>263</v>
      </c>
      <c r="D274" t="s">
        <v>327</v>
      </c>
      <c r="E274" t="s">
        <v>328</v>
      </c>
      <c r="F274" t="s">
        <v>301</v>
      </c>
      <c r="G274">
        <v>105010</v>
      </c>
      <c r="H274" t="s">
        <v>347</v>
      </c>
      <c r="I274">
        <v>201</v>
      </c>
      <c r="J274" t="s">
        <v>304</v>
      </c>
      <c r="K274" t="s">
        <v>304</v>
      </c>
      <c r="L274" t="s">
        <v>305</v>
      </c>
      <c r="M274">
        <v>2595.67</v>
      </c>
      <c r="P274">
        <v>0</v>
      </c>
      <c r="R274" s="154"/>
      <c r="S274" s="73">
        <f t="shared" si="27"/>
        <v>296.16594700000002</v>
      </c>
    </row>
    <row r="275" spans="1:19" ht="15">
      <c r="A275" s="161" t="s">
        <v>296</v>
      </c>
      <c r="B275" t="s">
        <v>365</v>
      </c>
      <c r="C275" t="s">
        <v>263</v>
      </c>
      <c r="D275" t="s">
        <v>327</v>
      </c>
      <c r="E275" t="s">
        <v>328</v>
      </c>
      <c r="F275" t="s">
        <v>301</v>
      </c>
      <c r="G275">
        <v>105019</v>
      </c>
      <c r="H275" t="s">
        <v>348</v>
      </c>
      <c r="I275">
        <v>201</v>
      </c>
      <c r="J275" t="s">
        <v>304</v>
      </c>
      <c r="K275" t="s">
        <v>304</v>
      </c>
      <c r="L275" t="s">
        <v>305</v>
      </c>
      <c r="M275">
        <v>908.46</v>
      </c>
      <c r="P275">
        <v>0</v>
      </c>
      <c r="R275" s="154"/>
      <c r="S275" s="73">
        <f t="shared" si="27"/>
        <v>103.655286</v>
      </c>
    </row>
    <row r="276" spans="1:19" ht="15">
      <c r="A276" s="161" t="s">
        <v>296</v>
      </c>
      <c r="B276" t="s">
        <v>365</v>
      </c>
      <c r="C276" t="s">
        <v>263</v>
      </c>
      <c r="D276" t="s">
        <v>327</v>
      </c>
      <c r="E276" t="s">
        <v>328</v>
      </c>
      <c r="F276" t="s">
        <v>301</v>
      </c>
      <c r="G276">
        <v>105019</v>
      </c>
      <c r="H276" t="s">
        <v>348</v>
      </c>
      <c r="I276">
        <v>201</v>
      </c>
      <c r="J276" t="s">
        <v>366</v>
      </c>
      <c r="K276" t="s">
        <v>304</v>
      </c>
      <c r="L276" t="s">
        <v>305</v>
      </c>
      <c r="M276">
        <v>425.6</v>
      </c>
      <c r="P276">
        <v>0</v>
      </c>
      <c r="R276" s="154"/>
      <c r="S276" s="73">
        <f t="shared" si="27"/>
        <v>48.560960000000001</v>
      </c>
    </row>
    <row r="277" spans="1:19" ht="15">
      <c r="A277" s="161" t="s">
        <v>296</v>
      </c>
      <c r="B277" t="s">
        <v>365</v>
      </c>
      <c r="C277" t="s">
        <v>263</v>
      </c>
      <c r="D277" t="s">
        <v>327</v>
      </c>
      <c r="E277" t="s">
        <v>328</v>
      </c>
      <c r="F277" t="s">
        <v>301</v>
      </c>
      <c r="G277">
        <v>105098</v>
      </c>
      <c r="H277" t="s">
        <v>302</v>
      </c>
      <c r="I277">
        <v>201</v>
      </c>
      <c r="J277" t="s">
        <v>331</v>
      </c>
      <c r="K277" t="s">
        <v>304</v>
      </c>
      <c r="L277" t="s">
        <v>305</v>
      </c>
      <c r="M277">
        <v>-1830</v>
      </c>
      <c r="P277">
        <v>0</v>
      </c>
      <c r="R277" s="154"/>
      <c r="S277" s="73">
        <f t="shared" si="27"/>
        <v>-208.803</v>
      </c>
    </row>
    <row r="278" spans="1:19" ht="15">
      <c r="A278" s="161" t="s">
        <v>296</v>
      </c>
      <c r="B278" t="s">
        <v>365</v>
      </c>
      <c r="C278" t="s">
        <v>263</v>
      </c>
      <c r="D278" t="s">
        <v>327</v>
      </c>
      <c r="E278" t="s">
        <v>328</v>
      </c>
      <c r="F278" t="s">
        <v>301</v>
      </c>
      <c r="G278">
        <v>105099</v>
      </c>
      <c r="H278" t="s">
        <v>306</v>
      </c>
      <c r="I278">
        <v>201</v>
      </c>
      <c r="J278" t="s">
        <v>332</v>
      </c>
      <c r="K278" t="s">
        <v>304</v>
      </c>
      <c r="L278" t="s">
        <v>305</v>
      </c>
      <c r="M278">
        <v>1830</v>
      </c>
      <c r="P278">
        <v>0</v>
      </c>
      <c r="R278" s="154"/>
      <c r="S278" s="73">
        <f t="shared" si="27"/>
        <v>208.803</v>
      </c>
    </row>
    <row r="279" spans="1:19" ht="15">
      <c r="A279" s="161" t="s">
        <v>296</v>
      </c>
      <c r="B279" t="s">
        <v>365</v>
      </c>
      <c r="C279" t="s">
        <v>263</v>
      </c>
      <c r="D279" t="s">
        <v>327</v>
      </c>
      <c r="E279" t="s">
        <v>328</v>
      </c>
      <c r="F279" t="s">
        <v>301</v>
      </c>
      <c r="G279" s="213">
        <v>109001</v>
      </c>
      <c r="H279" t="s">
        <v>324</v>
      </c>
      <c r="I279">
        <v>201</v>
      </c>
      <c r="J279" t="s">
        <v>304</v>
      </c>
      <c r="K279" t="s">
        <v>304</v>
      </c>
      <c r="L279" t="s">
        <v>305</v>
      </c>
      <c r="M279">
        <v>378063.16</v>
      </c>
      <c r="P279">
        <v>370000</v>
      </c>
      <c r="Q279" s="124">
        <f t="shared" ref="Q279:Q284" si="28">M279-P279</f>
        <v>8063.1599999999744</v>
      </c>
      <c r="R279" s="124">
        <f t="shared" ref="R279:R280" si="29">M279*-1.141</f>
        <v>-431370.06555999996</v>
      </c>
    </row>
    <row r="280" spans="1:19" ht="15">
      <c r="A280" s="161" t="s">
        <v>296</v>
      </c>
      <c r="B280" t="s">
        <v>365</v>
      </c>
      <c r="C280" t="s">
        <v>263</v>
      </c>
      <c r="D280" t="s">
        <v>327</v>
      </c>
      <c r="E280" t="s">
        <v>328</v>
      </c>
      <c r="F280" t="s">
        <v>301</v>
      </c>
      <c r="G280" s="213">
        <v>109001</v>
      </c>
      <c r="H280" t="s">
        <v>324</v>
      </c>
      <c r="I280">
        <v>201</v>
      </c>
      <c r="J280" t="s">
        <v>336</v>
      </c>
      <c r="K280" t="s">
        <v>304</v>
      </c>
      <c r="L280" t="s">
        <v>305</v>
      </c>
      <c r="M280">
        <v>1709.05</v>
      </c>
      <c r="P280">
        <v>0</v>
      </c>
      <c r="Q280" s="124">
        <f t="shared" si="28"/>
        <v>1709.05</v>
      </c>
      <c r="R280" s="124">
        <f t="shared" si="29"/>
        <v>-1950.0260499999999</v>
      </c>
    </row>
    <row r="281" spans="1:19" ht="15">
      <c r="A281" s="161" t="s">
        <v>296</v>
      </c>
      <c r="B281" t="s">
        <v>365</v>
      </c>
      <c r="C281" t="s">
        <v>263</v>
      </c>
      <c r="D281" t="s">
        <v>327</v>
      </c>
      <c r="E281" t="s">
        <v>328</v>
      </c>
      <c r="F281" t="s">
        <v>301</v>
      </c>
      <c r="G281" s="213">
        <v>109901</v>
      </c>
      <c r="H281" t="s">
        <v>309</v>
      </c>
      <c r="I281">
        <v>201</v>
      </c>
      <c r="J281" t="s">
        <v>304</v>
      </c>
      <c r="K281" t="s">
        <v>304</v>
      </c>
      <c r="L281" t="s">
        <v>305</v>
      </c>
      <c r="M281">
        <v>554788.91</v>
      </c>
      <c r="P281">
        <v>607000</v>
      </c>
      <c r="Q281" s="124">
        <f t="shared" si="28"/>
        <v>-52211.089999999967</v>
      </c>
      <c r="R281" s="154"/>
    </row>
    <row r="282" spans="1:19" ht="15">
      <c r="A282" s="161" t="s">
        <v>296</v>
      </c>
      <c r="B282" t="s">
        <v>365</v>
      </c>
      <c r="C282" t="s">
        <v>263</v>
      </c>
      <c r="D282" t="s">
        <v>327</v>
      </c>
      <c r="E282" t="s">
        <v>328</v>
      </c>
      <c r="F282" t="s">
        <v>301</v>
      </c>
      <c r="G282" s="213">
        <v>109901</v>
      </c>
      <c r="H282" t="s">
        <v>309</v>
      </c>
      <c r="I282">
        <v>201</v>
      </c>
      <c r="J282" t="s">
        <v>332</v>
      </c>
      <c r="K282" t="s">
        <v>304</v>
      </c>
      <c r="L282" t="s">
        <v>305</v>
      </c>
      <c r="M282">
        <v>258.05</v>
      </c>
      <c r="P282">
        <v>0</v>
      </c>
      <c r="Q282" s="124">
        <f t="shared" si="28"/>
        <v>258.05</v>
      </c>
      <c r="R282" s="154"/>
    </row>
    <row r="283" spans="1:19" ht="15">
      <c r="A283" s="161" t="s">
        <v>296</v>
      </c>
      <c r="B283" t="s">
        <v>365</v>
      </c>
      <c r="C283" t="s">
        <v>263</v>
      </c>
      <c r="D283" t="s">
        <v>327</v>
      </c>
      <c r="E283" t="s">
        <v>328</v>
      </c>
      <c r="F283" t="s">
        <v>301</v>
      </c>
      <c r="G283" s="213">
        <v>109901</v>
      </c>
      <c r="H283" t="s">
        <v>309</v>
      </c>
      <c r="I283">
        <v>201</v>
      </c>
      <c r="J283" t="s">
        <v>366</v>
      </c>
      <c r="K283" t="s">
        <v>304</v>
      </c>
      <c r="L283" t="s">
        <v>305</v>
      </c>
      <c r="M283">
        <v>60.01</v>
      </c>
      <c r="P283">
        <v>0</v>
      </c>
      <c r="Q283" s="124">
        <f t="shared" si="28"/>
        <v>60.01</v>
      </c>
      <c r="R283" s="154"/>
    </row>
    <row r="284" spans="1:19" ht="15">
      <c r="A284" s="161" t="s">
        <v>296</v>
      </c>
      <c r="B284" t="s">
        <v>365</v>
      </c>
      <c r="C284" t="s">
        <v>263</v>
      </c>
      <c r="D284" t="s">
        <v>327</v>
      </c>
      <c r="E284" t="s">
        <v>328</v>
      </c>
      <c r="F284" t="s">
        <v>301</v>
      </c>
      <c r="G284" s="213">
        <v>109901</v>
      </c>
      <c r="H284" t="s">
        <v>309</v>
      </c>
      <c r="I284">
        <v>201</v>
      </c>
      <c r="J284" t="s">
        <v>336</v>
      </c>
      <c r="K284" t="s">
        <v>304</v>
      </c>
      <c r="L284" t="s">
        <v>305</v>
      </c>
      <c r="M284">
        <v>2797.65</v>
      </c>
      <c r="P284">
        <v>0</v>
      </c>
      <c r="Q284" s="124">
        <f t="shared" si="28"/>
        <v>2797.65</v>
      </c>
      <c r="R284" s="154"/>
    </row>
    <row r="285" spans="1:19" ht="15">
      <c r="A285" s="161" t="s">
        <v>296</v>
      </c>
      <c r="B285" t="s">
        <v>367</v>
      </c>
      <c r="C285" t="s">
        <v>264</v>
      </c>
      <c r="D285" t="s">
        <v>327</v>
      </c>
      <c r="E285" t="s">
        <v>368</v>
      </c>
      <c r="F285" t="s">
        <v>301</v>
      </c>
      <c r="G285">
        <v>101001</v>
      </c>
      <c r="H285" t="s">
        <v>329</v>
      </c>
      <c r="I285">
        <v>201</v>
      </c>
      <c r="J285" t="s">
        <v>304</v>
      </c>
      <c r="K285" t="s">
        <v>304</v>
      </c>
      <c r="L285" t="s">
        <v>305</v>
      </c>
      <c r="M285">
        <v>8710998.1899999995</v>
      </c>
      <c r="P285">
        <v>9007000</v>
      </c>
      <c r="R285" s="154"/>
      <c r="S285" s="73">
        <f t="shared" ref="S285:S307" si="30">M285*$S$7*1.141</f>
        <v>993924.89347900008</v>
      </c>
    </row>
    <row r="286" spans="1:19" ht="15">
      <c r="A286" s="161" t="s">
        <v>296</v>
      </c>
      <c r="B286" t="s">
        <v>367</v>
      </c>
      <c r="C286" t="s">
        <v>264</v>
      </c>
      <c r="D286" t="s">
        <v>327</v>
      </c>
      <c r="E286" t="s">
        <v>368</v>
      </c>
      <c r="F286" t="s">
        <v>301</v>
      </c>
      <c r="G286">
        <v>101002</v>
      </c>
      <c r="H286" t="s">
        <v>335</v>
      </c>
      <c r="I286">
        <v>201</v>
      </c>
      <c r="J286" t="s">
        <v>304</v>
      </c>
      <c r="K286" t="s">
        <v>304</v>
      </c>
      <c r="L286" t="s">
        <v>305</v>
      </c>
      <c r="M286">
        <v>57214.49</v>
      </c>
      <c r="P286">
        <v>0</v>
      </c>
      <c r="R286" s="154"/>
      <c r="S286" s="73">
        <f t="shared" si="30"/>
        <v>6528.1733090000007</v>
      </c>
    </row>
    <row r="287" spans="1:19" ht="15">
      <c r="A287" s="161" t="s">
        <v>296</v>
      </c>
      <c r="B287" t="s">
        <v>367</v>
      </c>
      <c r="C287" t="s">
        <v>264</v>
      </c>
      <c r="D287" t="s">
        <v>327</v>
      </c>
      <c r="E287" t="s">
        <v>368</v>
      </c>
      <c r="F287" t="s">
        <v>301</v>
      </c>
      <c r="G287">
        <v>101002</v>
      </c>
      <c r="H287" t="s">
        <v>335</v>
      </c>
      <c r="I287">
        <v>201</v>
      </c>
      <c r="J287" t="s">
        <v>336</v>
      </c>
      <c r="K287" t="s">
        <v>304</v>
      </c>
      <c r="L287" t="s">
        <v>305</v>
      </c>
      <c r="M287">
        <v>10083.01</v>
      </c>
      <c r="P287">
        <v>0</v>
      </c>
      <c r="R287" s="154"/>
      <c r="S287" s="73">
        <f t="shared" si="30"/>
        <v>1150.4714410000001</v>
      </c>
    </row>
    <row r="288" spans="1:19" ht="15">
      <c r="A288" s="161" t="s">
        <v>296</v>
      </c>
      <c r="B288" t="s">
        <v>367</v>
      </c>
      <c r="C288" t="s">
        <v>264</v>
      </c>
      <c r="D288" t="s">
        <v>327</v>
      </c>
      <c r="E288" t="s">
        <v>368</v>
      </c>
      <c r="F288" t="s">
        <v>301</v>
      </c>
      <c r="G288">
        <v>101002</v>
      </c>
      <c r="H288" t="s">
        <v>335</v>
      </c>
      <c r="I288">
        <v>201</v>
      </c>
      <c r="J288" t="s">
        <v>352</v>
      </c>
      <c r="K288" t="s">
        <v>304</v>
      </c>
      <c r="L288" t="s">
        <v>305</v>
      </c>
      <c r="M288">
        <v>2365.98</v>
      </c>
      <c r="P288">
        <v>0</v>
      </c>
      <c r="R288" s="154"/>
      <c r="S288" s="73">
        <f t="shared" si="30"/>
        <v>269.95831800000002</v>
      </c>
    </row>
    <row r="289" spans="1:19" ht="15">
      <c r="A289" s="161" t="s">
        <v>296</v>
      </c>
      <c r="B289" t="s">
        <v>367</v>
      </c>
      <c r="C289" t="s">
        <v>264</v>
      </c>
      <c r="D289" t="s">
        <v>327</v>
      </c>
      <c r="E289" t="s">
        <v>368</v>
      </c>
      <c r="F289" t="s">
        <v>301</v>
      </c>
      <c r="G289">
        <v>101039</v>
      </c>
      <c r="H289" t="s">
        <v>312</v>
      </c>
      <c r="I289">
        <v>201</v>
      </c>
      <c r="J289" t="s">
        <v>304</v>
      </c>
      <c r="K289" t="s">
        <v>304</v>
      </c>
      <c r="L289" t="s">
        <v>305</v>
      </c>
      <c r="M289">
        <v>227665.15</v>
      </c>
      <c r="P289">
        <v>0</v>
      </c>
      <c r="R289" s="154"/>
      <c r="S289" s="73">
        <f t="shared" si="30"/>
        <v>25976.593614999998</v>
      </c>
    </row>
    <row r="290" spans="1:19" ht="15">
      <c r="A290" s="161" t="s">
        <v>296</v>
      </c>
      <c r="B290" t="s">
        <v>367</v>
      </c>
      <c r="C290" t="s">
        <v>264</v>
      </c>
      <c r="D290" t="s">
        <v>327</v>
      </c>
      <c r="E290" t="s">
        <v>368</v>
      </c>
      <c r="F290" t="s">
        <v>301</v>
      </c>
      <c r="G290">
        <v>101039</v>
      </c>
      <c r="H290" t="s">
        <v>312</v>
      </c>
      <c r="I290">
        <v>201</v>
      </c>
      <c r="J290" t="s">
        <v>350</v>
      </c>
      <c r="K290" t="s">
        <v>304</v>
      </c>
      <c r="L290" t="s">
        <v>305</v>
      </c>
      <c r="M290">
        <v>29154.35</v>
      </c>
      <c r="P290">
        <v>29000</v>
      </c>
      <c r="R290" s="154"/>
      <c r="S290" s="73">
        <f t="shared" si="30"/>
        <v>3326.5113350000001</v>
      </c>
    </row>
    <row r="291" spans="1:19" ht="15">
      <c r="A291" s="161" t="s">
        <v>296</v>
      </c>
      <c r="B291" t="s">
        <v>367</v>
      </c>
      <c r="C291" t="s">
        <v>264</v>
      </c>
      <c r="D291" t="s">
        <v>327</v>
      </c>
      <c r="E291" t="s">
        <v>368</v>
      </c>
      <c r="F291" t="s">
        <v>301</v>
      </c>
      <c r="G291">
        <v>102002</v>
      </c>
      <c r="H291" t="s">
        <v>338</v>
      </c>
      <c r="I291">
        <v>201</v>
      </c>
      <c r="J291" t="s">
        <v>304</v>
      </c>
      <c r="K291" t="s">
        <v>304</v>
      </c>
      <c r="L291" t="s">
        <v>305</v>
      </c>
      <c r="M291">
        <v>23506.29</v>
      </c>
      <c r="P291">
        <v>0</v>
      </c>
      <c r="R291" s="154"/>
      <c r="S291" s="73">
        <f t="shared" si="30"/>
        <v>2682.0676890000004</v>
      </c>
    </row>
    <row r="292" spans="1:19" ht="15">
      <c r="A292" s="161" t="s">
        <v>296</v>
      </c>
      <c r="B292" t="s">
        <v>367</v>
      </c>
      <c r="C292" t="s">
        <v>264</v>
      </c>
      <c r="D292" t="s">
        <v>327</v>
      </c>
      <c r="E292" t="s">
        <v>368</v>
      </c>
      <c r="F292" t="s">
        <v>301</v>
      </c>
      <c r="G292">
        <v>102002</v>
      </c>
      <c r="H292" t="s">
        <v>338</v>
      </c>
      <c r="I292">
        <v>201</v>
      </c>
      <c r="J292" t="s">
        <v>336</v>
      </c>
      <c r="K292" t="s">
        <v>304</v>
      </c>
      <c r="L292" t="s">
        <v>305</v>
      </c>
      <c r="M292">
        <v>8210.2900000000009</v>
      </c>
      <c r="P292">
        <v>0</v>
      </c>
      <c r="R292" s="154"/>
      <c r="S292" s="73">
        <f t="shared" si="30"/>
        <v>936.7940890000001</v>
      </c>
    </row>
    <row r="293" spans="1:19" ht="15">
      <c r="A293" s="161" t="s">
        <v>296</v>
      </c>
      <c r="B293" t="s">
        <v>367</v>
      </c>
      <c r="C293" t="s">
        <v>264</v>
      </c>
      <c r="D293" t="s">
        <v>327</v>
      </c>
      <c r="E293" t="s">
        <v>368</v>
      </c>
      <c r="F293" t="s">
        <v>301</v>
      </c>
      <c r="G293">
        <v>102002</v>
      </c>
      <c r="H293" t="s">
        <v>338</v>
      </c>
      <c r="I293">
        <v>201</v>
      </c>
      <c r="J293" t="s">
        <v>352</v>
      </c>
      <c r="K293" t="s">
        <v>304</v>
      </c>
      <c r="L293" t="s">
        <v>305</v>
      </c>
      <c r="M293">
        <v>1609.71</v>
      </c>
      <c r="P293">
        <v>0</v>
      </c>
      <c r="R293" s="154"/>
      <c r="S293" s="73">
        <f t="shared" si="30"/>
        <v>183.667911</v>
      </c>
    </row>
    <row r="294" spans="1:19" ht="15">
      <c r="A294" s="161" t="s">
        <v>296</v>
      </c>
      <c r="B294" t="s">
        <v>367</v>
      </c>
      <c r="C294" t="s">
        <v>264</v>
      </c>
      <c r="D294" t="s">
        <v>327</v>
      </c>
      <c r="E294" t="s">
        <v>368</v>
      </c>
      <c r="F294" t="s">
        <v>301</v>
      </c>
      <c r="G294">
        <v>102003</v>
      </c>
      <c r="H294" t="s">
        <v>339</v>
      </c>
      <c r="I294">
        <v>201</v>
      </c>
      <c r="J294" t="s">
        <v>304</v>
      </c>
      <c r="K294" t="s">
        <v>304</v>
      </c>
      <c r="L294" t="s">
        <v>305</v>
      </c>
      <c r="M294">
        <v>263428.59999999998</v>
      </c>
      <c r="P294">
        <v>300000</v>
      </c>
      <c r="R294" s="154"/>
      <c r="S294" s="73">
        <f t="shared" si="30"/>
        <v>30057.203260000002</v>
      </c>
    </row>
    <row r="295" spans="1:19" ht="15">
      <c r="A295" s="161" t="s">
        <v>296</v>
      </c>
      <c r="B295" t="s">
        <v>367</v>
      </c>
      <c r="C295" t="s">
        <v>264</v>
      </c>
      <c r="D295" t="s">
        <v>327</v>
      </c>
      <c r="E295" t="s">
        <v>368</v>
      </c>
      <c r="F295" t="s">
        <v>301</v>
      </c>
      <c r="G295">
        <v>102005</v>
      </c>
      <c r="H295" t="s">
        <v>340</v>
      </c>
      <c r="I295">
        <v>201</v>
      </c>
      <c r="J295" t="s">
        <v>304</v>
      </c>
      <c r="K295" t="s">
        <v>304</v>
      </c>
      <c r="L295" t="s">
        <v>305</v>
      </c>
      <c r="M295">
        <v>118182.86</v>
      </c>
      <c r="P295">
        <v>8000</v>
      </c>
      <c r="R295" s="154"/>
      <c r="S295" s="73">
        <f t="shared" si="30"/>
        <v>13484.664326</v>
      </c>
    </row>
    <row r="296" spans="1:19" ht="15">
      <c r="A296" s="161" t="s">
        <v>296</v>
      </c>
      <c r="B296" t="s">
        <v>367</v>
      </c>
      <c r="C296" t="s">
        <v>264</v>
      </c>
      <c r="D296" t="s">
        <v>327</v>
      </c>
      <c r="E296" t="s">
        <v>368</v>
      </c>
      <c r="F296" t="s">
        <v>301</v>
      </c>
      <c r="G296">
        <v>102062</v>
      </c>
      <c r="H296" t="s">
        <v>341</v>
      </c>
      <c r="I296">
        <v>201</v>
      </c>
      <c r="J296" t="s">
        <v>304</v>
      </c>
      <c r="K296" t="s">
        <v>304</v>
      </c>
      <c r="L296" t="s">
        <v>305</v>
      </c>
      <c r="M296">
        <v>6408.24</v>
      </c>
      <c r="P296">
        <v>0</v>
      </c>
      <c r="R296" s="154"/>
      <c r="S296" s="73">
        <f t="shared" si="30"/>
        <v>731.18018400000005</v>
      </c>
    </row>
    <row r="297" spans="1:19" ht="15">
      <c r="A297" s="161" t="s">
        <v>296</v>
      </c>
      <c r="B297" t="s">
        <v>367</v>
      </c>
      <c r="C297" t="s">
        <v>264</v>
      </c>
      <c r="D297" t="s">
        <v>327</v>
      </c>
      <c r="E297" t="s">
        <v>368</v>
      </c>
      <c r="F297" t="s">
        <v>301</v>
      </c>
      <c r="G297">
        <v>103001</v>
      </c>
      <c r="H297" t="s">
        <v>342</v>
      </c>
      <c r="I297">
        <v>201</v>
      </c>
      <c r="J297" t="s">
        <v>357</v>
      </c>
      <c r="K297" t="s">
        <v>304</v>
      </c>
      <c r="L297" t="s">
        <v>305</v>
      </c>
      <c r="M297">
        <v>1073.3699999999999</v>
      </c>
      <c r="P297">
        <v>0</v>
      </c>
      <c r="R297" s="154"/>
      <c r="S297" s="73">
        <f t="shared" si="30"/>
        <v>122.47151699999999</v>
      </c>
    </row>
    <row r="298" spans="1:19" ht="15">
      <c r="A298" s="161" t="s">
        <v>296</v>
      </c>
      <c r="B298" t="s">
        <v>367</v>
      </c>
      <c r="C298" t="s">
        <v>264</v>
      </c>
      <c r="D298" t="s">
        <v>327</v>
      </c>
      <c r="E298" t="s">
        <v>368</v>
      </c>
      <c r="F298" t="s">
        <v>301</v>
      </c>
      <c r="G298">
        <v>103001</v>
      </c>
      <c r="H298" t="s">
        <v>342</v>
      </c>
      <c r="I298">
        <v>201</v>
      </c>
      <c r="J298" t="s">
        <v>352</v>
      </c>
      <c r="K298" t="s">
        <v>304</v>
      </c>
      <c r="L298" t="s">
        <v>305</v>
      </c>
      <c r="M298">
        <v>5544.78</v>
      </c>
      <c r="P298">
        <v>0</v>
      </c>
      <c r="R298" s="154"/>
      <c r="S298" s="73">
        <f t="shared" si="30"/>
        <v>632.6593979999999</v>
      </c>
    </row>
    <row r="299" spans="1:19" ht="15">
      <c r="A299" s="161" t="s">
        <v>296</v>
      </c>
      <c r="B299" t="s">
        <v>367</v>
      </c>
      <c r="C299" t="s">
        <v>264</v>
      </c>
      <c r="D299" t="s">
        <v>327</v>
      </c>
      <c r="E299" t="s">
        <v>368</v>
      </c>
      <c r="F299" t="s">
        <v>301</v>
      </c>
      <c r="G299">
        <v>103069</v>
      </c>
      <c r="H299" t="s">
        <v>344</v>
      </c>
      <c r="I299">
        <v>201</v>
      </c>
      <c r="J299" t="s">
        <v>304</v>
      </c>
      <c r="K299" t="s">
        <v>304</v>
      </c>
      <c r="L299" t="s">
        <v>305</v>
      </c>
      <c r="M299">
        <v>10047.42</v>
      </c>
      <c r="P299">
        <v>0</v>
      </c>
      <c r="R299" s="154"/>
      <c r="S299" s="73">
        <f t="shared" si="30"/>
        <v>1146.4106220000001</v>
      </c>
    </row>
    <row r="300" spans="1:19" ht="15">
      <c r="A300" s="161" t="s">
        <v>296</v>
      </c>
      <c r="B300" t="s">
        <v>367</v>
      </c>
      <c r="C300" t="s">
        <v>264</v>
      </c>
      <c r="D300" t="s">
        <v>327</v>
      </c>
      <c r="E300" t="s">
        <v>368</v>
      </c>
      <c r="F300" t="s">
        <v>301</v>
      </c>
      <c r="G300">
        <v>104000</v>
      </c>
      <c r="H300" t="s">
        <v>345</v>
      </c>
      <c r="I300">
        <v>201</v>
      </c>
      <c r="J300" t="s">
        <v>304</v>
      </c>
      <c r="K300" t="s">
        <v>304</v>
      </c>
      <c r="L300" t="s">
        <v>305</v>
      </c>
      <c r="M300">
        <v>78316.259999999995</v>
      </c>
      <c r="P300">
        <v>86000</v>
      </c>
      <c r="R300" s="154"/>
      <c r="S300" s="73">
        <f t="shared" si="30"/>
        <v>8935.8852660000011</v>
      </c>
    </row>
    <row r="301" spans="1:19" ht="15">
      <c r="A301" s="161" t="s">
        <v>296</v>
      </c>
      <c r="B301" t="s">
        <v>367</v>
      </c>
      <c r="C301" t="s">
        <v>264</v>
      </c>
      <c r="D301" t="s">
        <v>327</v>
      </c>
      <c r="E301" t="s">
        <v>368</v>
      </c>
      <c r="F301" t="s">
        <v>301</v>
      </c>
      <c r="G301">
        <v>104000</v>
      </c>
      <c r="H301" t="s">
        <v>345</v>
      </c>
      <c r="I301">
        <v>201</v>
      </c>
      <c r="J301" t="s">
        <v>357</v>
      </c>
      <c r="K301" t="s">
        <v>304</v>
      </c>
      <c r="L301" t="s">
        <v>305</v>
      </c>
      <c r="M301">
        <v>11936.54</v>
      </c>
      <c r="P301">
        <v>0</v>
      </c>
      <c r="R301" s="154"/>
      <c r="S301" s="73">
        <f t="shared" si="30"/>
        <v>1361.9592140000002</v>
      </c>
    </row>
    <row r="302" spans="1:19" ht="15">
      <c r="A302" s="161" t="s">
        <v>296</v>
      </c>
      <c r="B302" t="s">
        <v>367</v>
      </c>
      <c r="C302" t="s">
        <v>264</v>
      </c>
      <c r="D302" t="s">
        <v>327</v>
      </c>
      <c r="E302" t="s">
        <v>368</v>
      </c>
      <c r="F302" t="s">
        <v>301</v>
      </c>
      <c r="G302">
        <v>104000</v>
      </c>
      <c r="H302" t="s">
        <v>345</v>
      </c>
      <c r="I302">
        <v>201</v>
      </c>
      <c r="J302" t="s">
        <v>352</v>
      </c>
      <c r="K302" t="s">
        <v>304</v>
      </c>
      <c r="L302" t="s">
        <v>305</v>
      </c>
      <c r="M302">
        <v>18298.900000000001</v>
      </c>
      <c r="P302">
        <v>0</v>
      </c>
      <c r="R302" s="154"/>
      <c r="S302" s="73">
        <f t="shared" si="30"/>
        <v>2087.9044900000004</v>
      </c>
    </row>
    <row r="303" spans="1:19" ht="15">
      <c r="A303" s="161" t="s">
        <v>296</v>
      </c>
      <c r="B303" t="s">
        <v>367</v>
      </c>
      <c r="C303" t="s">
        <v>264</v>
      </c>
      <c r="D303" t="s">
        <v>327</v>
      </c>
      <c r="E303" t="s">
        <v>368</v>
      </c>
      <c r="F303" t="s">
        <v>301</v>
      </c>
      <c r="G303">
        <v>105009</v>
      </c>
      <c r="H303" t="s">
        <v>369</v>
      </c>
      <c r="I303">
        <v>201</v>
      </c>
      <c r="J303" t="s">
        <v>336</v>
      </c>
      <c r="K303" t="s">
        <v>304</v>
      </c>
      <c r="L303" t="s">
        <v>305</v>
      </c>
      <c r="M303">
        <v>83821</v>
      </c>
      <c r="P303">
        <v>0</v>
      </c>
      <c r="R303" s="154"/>
      <c r="S303" s="73">
        <f t="shared" si="30"/>
        <v>9563.9760999999999</v>
      </c>
    </row>
    <row r="304" spans="1:19" ht="15">
      <c r="A304" s="161" t="s">
        <v>296</v>
      </c>
      <c r="B304" t="s">
        <v>367</v>
      </c>
      <c r="C304" t="s">
        <v>264</v>
      </c>
      <c r="D304" t="s">
        <v>327</v>
      </c>
      <c r="E304" t="s">
        <v>368</v>
      </c>
      <c r="F304" t="s">
        <v>301</v>
      </c>
      <c r="G304">
        <v>105010</v>
      </c>
      <c r="H304" t="s">
        <v>347</v>
      </c>
      <c r="I304">
        <v>201</v>
      </c>
      <c r="J304" t="s">
        <v>304</v>
      </c>
      <c r="K304" t="s">
        <v>304</v>
      </c>
      <c r="L304" t="s">
        <v>305</v>
      </c>
      <c r="M304">
        <v>1501.12</v>
      </c>
      <c r="P304">
        <v>0</v>
      </c>
      <c r="R304" s="154"/>
      <c r="S304" s="73">
        <f t="shared" si="30"/>
        <v>171.27779200000001</v>
      </c>
    </row>
    <row r="305" spans="1:19" ht="15">
      <c r="A305" s="161" t="s">
        <v>296</v>
      </c>
      <c r="B305" t="s">
        <v>367</v>
      </c>
      <c r="C305" t="s">
        <v>264</v>
      </c>
      <c r="D305" t="s">
        <v>327</v>
      </c>
      <c r="E305" t="s">
        <v>368</v>
      </c>
      <c r="F305" t="s">
        <v>301</v>
      </c>
      <c r="G305">
        <v>105019</v>
      </c>
      <c r="H305" t="s">
        <v>348</v>
      </c>
      <c r="I305">
        <v>201</v>
      </c>
      <c r="J305" t="s">
        <v>304</v>
      </c>
      <c r="K305" t="s">
        <v>304</v>
      </c>
      <c r="L305" t="s">
        <v>305</v>
      </c>
      <c r="M305">
        <v>3718.36</v>
      </c>
      <c r="P305">
        <v>0</v>
      </c>
      <c r="R305" s="154"/>
      <c r="S305" s="73">
        <f t="shared" si="30"/>
        <v>424.26487600000002</v>
      </c>
    </row>
    <row r="306" spans="1:19" ht="15">
      <c r="A306" s="161" t="s">
        <v>296</v>
      </c>
      <c r="B306" t="s">
        <v>367</v>
      </c>
      <c r="C306" t="s">
        <v>264</v>
      </c>
      <c r="D306" t="s">
        <v>327</v>
      </c>
      <c r="E306" t="s">
        <v>368</v>
      </c>
      <c r="F306" t="s">
        <v>301</v>
      </c>
      <c r="G306">
        <v>105098</v>
      </c>
      <c r="H306" t="s">
        <v>302</v>
      </c>
      <c r="I306">
        <v>201</v>
      </c>
      <c r="J306" t="s">
        <v>331</v>
      </c>
      <c r="K306" t="s">
        <v>304</v>
      </c>
      <c r="L306" t="s">
        <v>305</v>
      </c>
      <c r="M306">
        <v>-4392</v>
      </c>
      <c r="P306">
        <v>0</v>
      </c>
      <c r="R306" s="154"/>
      <c r="S306" s="73">
        <f t="shared" si="30"/>
        <v>-501.12720000000007</v>
      </c>
    </row>
    <row r="307" spans="1:19" ht="15">
      <c r="A307" s="161" t="s">
        <v>296</v>
      </c>
      <c r="B307" t="s">
        <v>367</v>
      </c>
      <c r="C307" t="s">
        <v>264</v>
      </c>
      <c r="D307" t="s">
        <v>327</v>
      </c>
      <c r="E307" t="s">
        <v>368</v>
      </c>
      <c r="F307" t="s">
        <v>301</v>
      </c>
      <c r="G307">
        <v>105099</v>
      </c>
      <c r="H307" t="s">
        <v>306</v>
      </c>
      <c r="I307">
        <v>201</v>
      </c>
      <c r="J307" t="s">
        <v>332</v>
      </c>
      <c r="K307" t="s">
        <v>304</v>
      </c>
      <c r="L307" t="s">
        <v>305</v>
      </c>
      <c r="M307">
        <v>4392</v>
      </c>
      <c r="P307">
        <v>0</v>
      </c>
      <c r="R307" s="154"/>
      <c r="S307" s="73">
        <f t="shared" si="30"/>
        <v>501.12720000000007</v>
      </c>
    </row>
    <row r="308" spans="1:19" ht="15">
      <c r="A308" s="161" t="s">
        <v>296</v>
      </c>
      <c r="B308" t="s">
        <v>367</v>
      </c>
      <c r="C308" t="s">
        <v>264</v>
      </c>
      <c r="D308" t="s">
        <v>327</v>
      </c>
      <c r="E308" t="s">
        <v>368</v>
      </c>
      <c r="F308" t="s">
        <v>301</v>
      </c>
      <c r="G308" s="213">
        <v>109001</v>
      </c>
      <c r="H308" t="s">
        <v>324</v>
      </c>
      <c r="I308">
        <v>201</v>
      </c>
      <c r="J308" t="s">
        <v>304</v>
      </c>
      <c r="K308" t="s">
        <v>304</v>
      </c>
      <c r="L308" t="s">
        <v>305</v>
      </c>
      <c r="M308">
        <v>885559.3</v>
      </c>
      <c r="P308">
        <v>884000</v>
      </c>
      <c r="Q308" s="124">
        <f t="shared" ref="Q308:Q318" si="31">M308-P308</f>
        <v>1559.3000000000466</v>
      </c>
      <c r="R308" s="124">
        <f t="shared" ref="R308:R312" si="32">M308*-1.141</f>
        <v>-1010423.1613</v>
      </c>
    </row>
    <row r="309" spans="1:19" ht="15">
      <c r="A309" s="161" t="s">
        <v>296</v>
      </c>
      <c r="B309" t="s">
        <v>367</v>
      </c>
      <c r="C309" t="s">
        <v>264</v>
      </c>
      <c r="D309" t="s">
        <v>327</v>
      </c>
      <c r="E309" t="s">
        <v>368</v>
      </c>
      <c r="F309" t="s">
        <v>301</v>
      </c>
      <c r="G309" s="213">
        <v>109001</v>
      </c>
      <c r="H309" t="s">
        <v>324</v>
      </c>
      <c r="I309">
        <v>201</v>
      </c>
      <c r="J309" t="s">
        <v>336</v>
      </c>
      <c r="K309" t="s">
        <v>304</v>
      </c>
      <c r="L309" t="s">
        <v>305</v>
      </c>
      <c r="M309">
        <v>1740.68</v>
      </c>
      <c r="P309">
        <v>0</v>
      </c>
      <c r="Q309" s="124">
        <f t="shared" si="31"/>
        <v>1740.68</v>
      </c>
      <c r="R309" s="124">
        <f t="shared" si="32"/>
        <v>-1986.1158800000001</v>
      </c>
    </row>
    <row r="310" spans="1:19" ht="15">
      <c r="A310" s="161" t="s">
        <v>296</v>
      </c>
      <c r="B310" t="s">
        <v>367</v>
      </c>
      <c r="C310" t="s">
        <v>264</v>
      </c>
      <c r="D310" t="s">
        <v>327</v>
      </c>
      <c r="E310" t="s">
        <v>368</v>
      </c>
      <c r="F310" t="s">
        <v>301</v>
      </c>
      <c r="G310" s="213">
        <v>109001</v>
      </c>
      <c r="H310" t="s">
        <v>324</v>
      </c>
      <c r="I310">
        <v>201</v>
      </c>
      <c r="J310" t="s">
        <v>357</v>
      </c>
      <c r="K310" t="s">
        <v>304</v>
      </c>
      <c r="L310" t="s">
        <v>305</v>
      </c>
      <c r="M310">
        <v>101.71</v>
      </c>
      <c r="P310">
        <v>0</v>
      </c>
      <c r="Q310" s="124">
        <f t="shared" si="31"/>
        <v>101.71</v>
      </c>
      <c r="R310" s="124">
        <f t="shared" si="32"/>
        <v>-116.05110999999999</v>
      </c>
    </row>
    <row r="311" spans="1:19" ht="15">
      <c r="A311" s="161" t="s">
        <v>296</v>
      </c>
      <c r="B311" t="s">
        <v>367</v>
      </c>
      <c r="C311" t="s">
        <v>264</v>
      </c>
      <c r="D311" t="s">
        <v>327</v>
      </c>
      <c r="E311" t="s">
        <v>368</v>
      </c>
      <c r="F311" t="s">
        <v>301</v>
      </c>
      <c r="G311" s="213">
        <v>109001</v>
      </c>
      <c r="H311" t="s">
        <v>324</v>
      </c>
      <c r="I311">
        <v>201</v>
      </c>
      <c r="J311" t="s">
        <v>350</v>
      </c>
      <c r="K311" t="s">
        <v>304</v>
      </c>
      <c r="L311" t="s">
        <v>305</v>
      </c>
      <c r="M311">
        <v>2707.2</v>
      </c>
      <c r="P311">
        <v>3000</v>
      </c>
      <c r="Q311" s="124">
        <f t="shared" si="31"/>
        <v>-292.80000000000018</v>
      </c>
      <c r="R311" s="124">
        <f t="shared" si="32"/>
        <v>-3088.9151999999999</v>
      </c>
    </row>
    <row r="312" spans="1:19" ht="15">
      <c r="A312" s="161" t="s">
        <v>296</v>
      </c>
      <c r="B312" t="s">
        <v>367</v>
      </c>
      <c r="C312" t="s">
        <v>264</v>
      </c>
      <c r="D312" t="s">
        <v>327</v>
      </c>
      <c r="E312" t="s">
        <v>368</v>
      </c>
      <c r="F312" t="s">
        <v>301</v>
      </c>
      <c r="G312" s="213">
        <v>109001</v>
      </c>
      <c r="H312" t="s">
        <v>324</v>
      </c>
      <c r="I312">
        <v>201</v>
      </c>
      <c r="J312" t="s">
        <v>352</v>
      </c>
      <c r="K312" t="s">
        <v>304</v>
      </c>
      <c r="L312" t="s">
        <v>305</v>
      </c>
      <c r="M312">
        <v>902.91</v>
      </c>
      <c r="P312">
        <v>0</v>
      </c>
      <c r="Q312" s="124">
        <f t="shared" si="31"/>
        <v>902.91</v>
      </c>
      <c r="R312" s="124">
        <f t="shared" si="32"/>
        <v>-1030.2203099999999</v>
      </c>
    </row>
    <row r="313" spans="1:19" ht="15">
      <c r="A313" s="161" t="s">
        <v>296</v>
      </c>
      <c r="B313" t="s">
        <v>367</v>
      </c>
      <c r="C313" t="s">
        <v>264</v>
      </c>
      <c r="D313" t="s">
        <v>327</v>
      </c>
      <c r="E313" t="s">
        <v>368</v>
      </c>
      <c r="F313" t="s">
        <v>301</v>
      </c>
      <c r="G313" s="213">
        <v>109901</v>
      </c>
      <c r="H313" t="s">
        <v>309</v>
      </c>
      <c r="I313">
        <v>201</v>
      </c>
      <c r="J313" t="s">
        <v>304</v>
      </c>
      <c r="K313" t="s">
        <v>304</v>
      </c>
      <c r="L313" t="s">
        <v>305</v>
      </c>
      <c r="M313">
        <v>1422749.98</v>
      </c>
      <c r="P313">
        <v>1450000</v>
      </c>
      <c r="Q313" s="124">
        <f t="shared" si="31"/>
        <v>-27250.020000000019</v>
      </c>
      <c r="R313" s="154"/>
    </row>
    <row r="314" spans="1:19" ht="15">
      <c r="A314" s="161" t="s">
        <v>296</v>
      </c>
      <c r="B314" t="s">
        <v>367</v>
      </c>
      <c r="C314" t="s">
        <v>264</v>
      </c>
      <c r="D314" t="s">
        <v>327</v>
      </c>
      <c r="E314" t="s">
        <v>368</v>
      </c>
      <c r="F314" t="s">
        <v>301</v>
      </c>
      <c r="G314" s="213">
        <v>109901</v>
      </c>
      <c r="H314" t="s">
        <v>309</v>
      </c>
      <c r="I314">
        <v>201</v>
      </c>
      <c r="J314" t="s">
        <v>332</v>
      </c>
      <c r="K314" t="s">
        <v>304</v>
      </c>
      <c r="L314" t="s">
        <v>305</v>
      </c>
      <c r="M314">
        <v>619.32000000000005</v>
      </c>
      <c r="P314">
        <v>0</v>
      </c>
      <c r="Q314" s="124">
        <f t="shared" si="31"/>
        <v>619.32000000000005</v>
      </c>
      <c r="R314" s="154"/>
    </row>
    <row r="315" spans="1:19" ht="15">
      <c r="A315" s="161" t="s">
        <v>296</v>
      </c>
      <c r="B315" t="s">
        <v>367</v>
      </c>
      <c r="C315" t="s">
        <v>264</v>
      </c>
      <c r="D315" t="s">
        <v>327</v>
      </c>
      <c r="E315" t="s">
        <v>368</v>
      </c>
      <c r="F315" t="s">
        <v>301</v>
      </c>
      <c r="G315" s="213">
        <v>109901</v>
      </c>
      <c r="H315" t="s">
        <v>309</v>
      </c>
      <c r="I315">
        <v>201</v>
      </c>
      <c r="J315" t="s">
        <v>336</v>
      </c>
      <c r="K315" t="s">
        <v>304</v>
      </c>
      <c r="L315" t="s">
        <v>305</v>
      </c>
      <c r="M315">
        <v>14643.54</v>
      </c>
      <c r="P315">
        <v>0</v>
      </c>
      <c r="Q315" s="124">
        <f t="shared" si="31"/>
        <v>14643.54</v>
      </c>
      <c r="R315" s="154"/>
    </row>
    <row r="316" spans="1:19" ht="15">
      <c r="A316" s="161" t="s">
        <v>296</v>
      </c>
      <c r="B316" t="s">
        <v>367</v>
      </c>
      <c r="C316" t="s">
        <v>264</v>
      </c>
      <c r="D316" t="s">
        <v>327</v>
      </c>
      <c r="E316" t="s">
        <v>368</v>
      </c>
      <c r="F316" t="s">
        <v>301</v>
      </c>
      <c r="G316" s="213">
        <v>109901</v>
      </c>
      <c r="H316" t="s">
        <v>309</v>
      </c>
      <c r="I316">
        <v>201</v>
      </c>
      <c r="J316" t="s">
        <v>357</v>
      </c>
      <c r="K316" t="s">
        <v>304</v>
      </c>
      <c r="L316" t="s">
        <v>305</v>
      </c>
      <c r="M316">
        <v>1848.75</v>
      </c>
      <c r="P316">
        <v>0</v>
      </c>
      <c r="Q316" s="124">
        <f t="shared" si="31"/>
        <v>1848.75</v>
      </c>
      <c r="R316" s="154"/>
    </row>
    <row r="317" spans="1:19" ht="15">
      <c r="A317" s="161" t="s">
        <v>296</v>
      </c>
      <c r="B317" t="s">
        <v>367</v>
      </c>
      <c r="C317" t="s">
        <v>264</v>
      </c>
      <c r="D317" t="s">
        <v>327</v>
      </c>
      <c r="E317" t="s">
        <v>368</v>
      </c>
      <c r="F317" t="s">
        <v>301</v>
      </c>
      <c r="G317" s="213">
        <v>109901</v>
      </c>
      <c r="H317" t="s">
        <v>309</v>
      </c>
      <c r="I317">
        <v>201</v>
      </c>
      <c r="J317" t="s">
        <v>350</v>
      </c>
      <c r="K317" t="s">
        <v>304</v>
      </c>
      <c r="L317" t="s">
        <v>305</v>
      </c>
      <c r="M317">
        <v>4492.53</v>
      </c>
      <c r="P317">
        <v>5000</v>
      </c>
      <c r="Q317" s="124">
        <f t="shared" si="31"/>
        <v>-507.47000000000025</v>
      </c>
      <c r="R317" s="154"/>
    </row>
    <row r="318" spans="1:19" ht="15">
      <c r="A318" s="161" t="s">
        <v>296</v>
      </c>
      <c r="B318" t="s">
        <v>367</v>
      </c>
      <c r="C318" t="s">
        <v>264</v>
      </c>
      <c r="D318" t="s">
        <v>327</v>
      </c>
      <c r="E318" t="s">
        <v>368</v>
      </c>
      <c r="F318" t="s">
        <v>301</v>
      </c>
      <c r="G318" s="213">
        <v>109901</v>
      </c>
      <c r="H318" t="s">
        <v>309</v>
      </c>
      <c r="I318">
        <v>201</v>
      </c>
      <c r="J318" t="s">
        <v>352</v>
      </c>
      <c r="K318" t="s">
        <v>304</v>
      </c>
      <c r="L318" t="s">
        <v>305</v>
      </c>
      <c r="M318">
        <v>4049.82</v>
      </c>
      <c r="P318">
        <v>0</v>
      </c>
      <c r="Q318" s="124">
        <f t="shared" si="31"/>
        <v>4049.82</v>
      </c>
      <c r="R318" s="154"/>
    </row>
    <row r="319" spans="1:19" ht="15">
      <c r="A319" s="161" t="s">
        <v>296</v>
      </c>
      <c r="B319" t="s">
        <v>370</v>
      </c>
      <c r="C319" t="s">
        <v>265</v>
      </c>
      <c r="D319" t="s">
        <v>327</v>
      </c>
      <c r="E319" t="s">
        <v>368</v>
      </c>
      <c r="F319" t="s">
        <v>301</v>
      </c>
      <c r="G319">
        <v>101001</v>
      </c>
      <c r="H319" t="s">
        <v>329</v>
      </c>
      <c r="I319">
        <v>201</v>
      </c>
      <c r="J319" t="s">
        <v>304</v>
      </c>
      <c r="K319" t="s">
        <v>304</v>
      </c>
      <c r="L319" t="s">
        <v>305</v>
      </c>
      <c r="M319">
        <v>7491802.75</v>
      </c>
      <c r="P319">
        <v>7588000</v>
      </c>
      <c r="R319" s="154"/>
      <c r="S319" s="73">
        <f t="shared" ref="S319:S335" si="33">M319*$S$7*1.141</f>
        <v>854814.69377500005</v>
      </c>
    </row>
    <row r="320" spans="1:19" ht="15">
      <c r="A320" s="161" t="s">
        <v>296</v>
      </c>
      <c r="B320" t="s">
        <v>370</v>
      </c>
      <c r="C320" t="s">
        <v>265</v>
      </c>
      <c r="D320" t="s">
        <v>327</v>
      </c>
      <c r="E320" t="s">
        <v>368</v>
      </c>
      <c r="F320" t="s">
        <v>301</v>
      </c>
      <c r="G320">
        <v>101002</v>
      </c>
      <c r="H320" t="s">
        <v>335</v>
      </c>
      <c r="I320">
        <v>201</v>
      </c>
      <c r="J320" t="s">
        <v>304</v>
      </c>
      <c r="K320" t="s">
        <v>304</v>
      </c>
      <c r="L320" t="s">
        <v>305</v>
      </c>
      <c r="M320">
        <v>46949.14</v>
      </c>
      <c r="P320">
        <v>3000</v>
      </c>
      <c r="R320" s="154"/>
      <c r="S320" s="73">
        <f t="shared" si="33"/>
        <v>5356.896874</v>
      </c>
    </row>
    <row r="321" spans="1:19" ht="15">
      <c r="A321" s="161" t="s">
        <v>296</v>
      </c>
      <c r="B321" t="s">
        <v>370</v>
      </c>
      <c r="C321" t="s">
        <v>265</v>
      </c>
      <c r="D321" t="s">
        <v>327</v>
      </c>
      <c r="E321" t="s">
        <v>368</v>
      </c>
      <c r="F321" t="s">
        <v>301</v>
      </c>
      <c r="G321">
        <v>101002</v>
      </c>
      <c r="H321" t="s">
        <v>335</v>
      </c>
      <c r="I321">
        <v>201</v>
      </c>
      <c r="J321" t="s">
        <v>336</v>
      </c>
      <c r="K321" t="s">
        <v>304</v>
      </c>
      <c r="L321" t="s">
        <v>305</v>
      </c>
      <c r="M321">
        <v>11053.9</v>
      </c>
      <c r="P321">
        <v>0</v>
      </c>
      <c r="R321" s="154"/>
      <c r="S321" s="73">
        <f t="shared" si="33"/>
        <v>1261.24999</v>
      </c>
    </row>
    <row r="322" spans="1:19" ht="15">
      <c r="A322" s="161" t="s">
        <v>296</v>
      </c>
      <c r="B322" t="s">
        <v>370</v>
      </c>
      <c r="C322" t="s">
        <v>265</v>
      </c>
      <c r="D322" t="s">
        <v>327</v>
      </c>
      <c r="E322" t="s">
        <v>368</v>
      </c>
      <c r="F322" t="s">
        <v>301</v>
      </c>
      <c r="G322">
        <v>101039</v>
      </c>
      <c r="H322" t="s">
        <v>312</v>
      </c>
      <c r="I322">
        <v>201</v>
      </c>
      <c r="J322" t="s">
        <v>304</v>
      </c>
      <c r="K322" t="s">
        <v>304</v>
      </c>
      <c r="L322" t="s">
        <v>305</v>
      </c>
      <c r="M322">
        <v>164655.85</v>
      </c>
      <c r="P322">
        <v>0</v>
      </c>
      <c r="R322" s="154"/>
      <c r="S322" s="73">
        <f t="shared" si="33"/>
        <v>18787.232485000004</v>
      </c>
    </row>
    <row r="323" spans="1:19" ht="15">
      <c r="A323" s="161" t="s">
        <v>296</v>
      </c>
      <c r="B323" t="s">
        <v>370</v>
      </c>
      <c r="C323" t="s">
        <v>265</v>
      </c>
      <c r="D323" t="s">
        <v>327</v>
      </c>
      <c r="E323" t="s">
        <v>368</v>
      </c>
      <c r="F323" t="s">
        <v>301</v>
      </c>
      <c r="G323">
        <v>102002</v>
      </c>
      <c r="H323" t="s">
        <v>338</v>
      </c>
      <c r="I323">
        <v>201</v>
      </c>
      <c r="J323" t="s">
        <v>304</v>
      </c>
      <c r="K323" t="s">
        <v>304</v>
      </c>
      <c r="L323" t="s">
        <v>305</v>
      </c>
      <c r="M323">
        <v>30793.65</v>
      </c>
      <c r="P323">
        <v>0</v>
      </c>
      <c r="R323" s="154"/>
      <c r="S323" s="73">
        <f t="shared" si="33"/>
        <v>3513.5554650000004</v>
      </c>
    </row>
    <row r="324" spans="1:19" ht="15">
      <c r="A324" s="161" t="s">
        <v>296</v>
      </c>
      <c r="B324" t="s">
        <v>370</v>
      </c>
      <c r="C324" t="s">
        <v>265</v>
      </c>
      <c r="D324" t="s">
        <v>327</v>
      </c>
      <c r="E324" t="s">
        <v>368</v>
      </c>
      <c r="F324" t="s">
        <v>301</v>
      </c>
      <c r="G324">
        <v>102003</v>
      </c>
      <c r="H324" t="s">
        <v>339</v>
      </c>
      <c r="I324">
        <v>201</v>
      </c>
      <c r="J324" t="s">
        <v>304</v>
      </c>
      <c r="K324" t="s">
        <v>304</v>
      </c>
      <c r="L324" t="s">
        <v>305</v>
      </c>
      <c r="M324">
        <v>300809.08</v>
      </c>
      <c r="P324">
        <v>246000</v>
      </c>
      <c r="R324" s="154"/>
      <c r="S324" s="73">
        <f t="shared" si="33"/>
        <v>34322.316028000001</v>
      </c>
    </row>
    <row r="325" spans="1:19" ht="15">
      <c r="A325" s="161" t="s">
        <v>296</v>
      </c>
      <c r="B325" t="s">
        <v>370</v>
      </c>
      <c r="C325" t="s">
        <v>265</v>
      </c>
      <c r="D325" t="s">
        <v>327</v>
      </c>
      <c r="E325" t="s">
        <v>368</v>
      </c>
      <c r="F325" t="s">
        <v>301</v>
      </c>
      <c r="G325">
        <v>102003</v>
      </c>
      <c r="H325" t="s">
        <v>339</v>
      </c>
      <c r="I325">
        <v>201</v>
      </c>
      <c r="J325" t="s">
        <v>336</v>
      </c>
      <c r="K325" t="s">
        <v>304</v>
      </c>
      <c r="L325" t="s">
        <v>305</v>
      </c>
      <c r="M325">
        <v>1894.96</v>
      </c>
      <c r="P325">
        <v>0</v>
      </c>
      <c r="R325" s="154"/>
      <c r="S325" s="73">
        <f t="shared" si="33"/>
        <v>216.21493600000002</v>
      </c>
    </row>
    <row r="326" spans="1:19" ht="15">
      <c r="A326" s="161" t="s">
        <v>296</v>
      </c>
      <c r="B326" t="s">
        <v>370</v>
      </c>
      <c r="C326" t="s">
        <v>265</v>
      </c>
      <c r="D326" t="s">
        <v>327</v>
      </c>
      <c r="E326" t="s">
        <v>368</v>
      </c>
      <c r="F326" t="s">
        <v>301</v>
      </c>
      <c r="G326">
        <v>102003</v>
      </c>
      <c r="H326" t="s">
        <v>339</v>
      </c>
      <c r="I326">
        <v>201</v>
      </c>
      <c r="J326" t="s">
        <v>357</v>
      </c>
      <c r="K326" t="s">
        <v>304</v>
      </c>
      <c r="L326" t="s">
        <v>305</v>
      </c>
      <c r="M326">
        <v>5220.59</v>
      </c>
      <c r="P326">
        <v>0</v>
      </c>
      <c r="R326" s="154"/>
      <c r="S326" s="73">
        <f t="shared" si="33"/>
        <v>595.66931900000009</v>
      </c>
    </row>
    <row r="327" spans="1:19" ht="15">
      <c r="A327" s="161" t="s">
        <v>296</v>
      </c>
      <c r="B327" t="s">
        <v>370</v>
      </c>
      <c r="C327" t="s">
        <v>265</v>
      </c>
      <c r="D327" t="s">
        <v>327</v>
      </c>
      <c r="E327" t="s">
        <v>368</v>
      </c>
      <c r="F327" t="s">
        <v>301</v>
      </c>
      <c r="G327">
        <v>102005</v>
      </c>
      <c r="H327" t="s">
        <v>340</v>
      </c>
      <c r="I327">
        <v>201</v>
      </c>
      <c r="J327" t="s">
        <v>304</v>
      </c>
      <c r="K327" t="s">
        <v>304</v>
      </c>
      <c r="L327" t="s">
        <v>305</v>
      </c>
      <c r="M327">
        <v>122045.67</v>
      </c>
      <c r="P327">
        <v>12000</v>
      </c>
      <c r="R327" s="154"/>
      <c r="S327" s="73">
        <f t="shared" si="33"/>
        <v>13925.410947000002</v>
      </c>
    </row>
    <row r="328" spans="1:19" ht="15">
      <c r="A328" s="161" t="s">
        <v>296</v>
      </c>
      <c r="B328" t="s">
        <v>370</v>
      </c>
      <c r="C328" t="s">
        <v>265</v>
      </c>
      <c r="D328" t="s">
        <v>327</v>
      </c>
      <c r="E328" t="s">
        <v>368</v>
      </c>
      <c r="F328" t="s">
        <v>301</v>
      </c>
      <c r="G328">
        <v>102062</v>
      </c>
      <c r="H328" t="s">
        <v>341</v>
      </c>
      <c r="I328">
        <v>201</v>
      </c>
      <c r="J328" t="s">
        <v>304</v>
      </c>
      <c r="K328" t="s">
        <v>304</v>
      </c>
      <c r="L328" t="s">
        <v>305</v>
      </c>
      <c r="M328">
        <v>4288.51</v>
      </c>
      <c r="P328">
        <v>0</v>
      </c>
      <c r="R328" s="154"/>
      <c r="S328" s="73">
        <f t="shared" si="33"/>
        <v>489.3189910000001</v>
      </c>
    </row>
    <row r="329" spans="1:19" ht="15">
      <c r="A329" s="161" t="s">
        <v>296</v>
      </c>
      <c r="B329" t="s">
        <v>370</v>
      </c>
      <c r="C329" t="s">
        <v>265</v>
      </c>
      <c r="D329" t="s">
        <v>327</v>
      </c>
      <c r="E329" t="s">
        <v>368</v>
      </c>
      <c r="F329" t="s">
        <v>301</v>
      </c>
      <c r="G329">
        <v>103001</v>
      </c>
      <c r="H329" t="s">
        <v>342</v>
      </c>
      <c r="I329">
        <v>201</v>
      </c>
      <c r="J329" t="s">
        <v>304</v>
      </c>
      <c r="K329" t="s">
        <v>304</v>
      </c>
      <c r="L329" t="s">
        <v>305</v>
      </c>
      <c r="M329">
        <v>30593.55</v>
      </c>
      <c r="P329">
        <v>0</v>
      </c>
      <c r="R329" s="154"/>
      <c r="S329" s="73">
        <f t="shared" si="33"/>
        <v>3490.7240550000001</v>
      </c>
    </row>
    <row r="330" spans="1:19" ht="15">
      <c r="A330" s="161" t="s">
        <v>296</v>
      </c>
      <c r="B330" t="s">
        <v>370</v>
      </c>
      <c r="C330" t="s">
        <v>265</v>
      </c>
      <c r="D330" t="s">
        <v>327</v>
      </c>
      <c r="E330" t="s">
        <v>368</v>
      </c>
      <c r="F330" t="s">
        <v>301</v>
      </c>
      <c r="G330">
        <v>103069</v>
      </c>
      <c r="H330" t="s">
        <v>344</v>
      </c>
      <c r="I330">
        <v>201</v>
      </c>
      <c r="J330" t="s">
        <v>304</v>
      </c>
      <c r="K330" t="s">
        <v>304</v>
      </c>
      <c r="L330" t="s">
        <v>305</v>
      </c>
      <c r="M330">
        <v>11762.35</v>
      </c>
      <c r="P330">
        <v>0</v>
      </c>
      <c r="R330" s="154"/>
      <c r="S330" s="73">
        <f t="shared" si="33"/>
        <v>1342.0841350000001</v>
      </c>
    </row>
    <row r="331" spans="1:19" ht="15">
      <c r="A331" s="161" t="s">
        <v>296</v>
      </c>
      <c r="B331" t="s">
        <v>370</v>
      </c>
      <c r="C331" t="s">
        <v>265</v>
      </c>
      <c r="D331" t="s">
        <v>327</v>
      </c>
      <c r="E331" t="s">
        <v>368</v>
      </c>
      <c r="F331" t="s">
        <v>301</v>
      </c>
      <c r="G331">
        <v>104000</v>
      </c>
      <c r="H331" t="s">
        <v>345</v>
      </c>
      <c r="I331">
        <v>201</v>
      </c>
      <c r="J331" t="s">
        <v>304</v>
      </c>
      <c r="K331" t="s">
        <v>304</v>
      </c>
      <c r="L331" t="s">
        <v>305</v>
      </c>
      <c r="M331">
        <v>120359.09</v>
      </c>
      <c r="P331">
        <v>66000</v>
      </c>
      <c r="R331" s="154"/>
      <c r="S331" s="73">
        <f t="shared" si="33"/>
        <v>13732.972169000001</v>
      </c>
    </row>
    <row r="332" spans="1:19" ht="15">
      <c r="A332" s="161" t="s">
        <v>296</v>
      </c>
      <c r="B332" t="s">
        <v>370</v>
      </c>
      <c r="C332" t="s">
        <v>265</v>
      </c>
      <c r="D332" t="s">
        <v>327</v>
      </c>
      <c r="E332" t="s">
        <v>368</v>
      </c>
      <c r="F332" t="s">
        <v>301</v>
      </c>
      <c r="G332">
        <v>105010</v>
      </c>
      <c r="H332" t="s">
        <v>347</v>
      </c>
      <c r="I332">
        <v>201</v>
      </c>
      <c r="J332" t="s">
        <v>304</v>
      </c>
      <c r="K332" t="s">
        <v>304</v>
      </c>
      <c r="L332" t="s">
        <v>305</v>
      </c>
      <c r="M332">
        <v>3686.14</v>
      </c>
      <c r="P332">
        <v>0</v>
      </c>
      <c r="R332" s="154"/>
      <c r="S332" s="73">
        <f t="shared" si="33"/>
        <v>420.58857400000005</v>
      </c>
    </row>
    <row r="333" spans="1:19" ht="15">
      <c r="A333" s="161" t="s">
        <v>296</v>
      </c>
      <c r="B333" t="s">
        <v>370</v>
      </c>
      <c r="C333" t="s">
        <v>265</v>
      </c>
      <c r="D333" t="s">
        <v>327</v>
      </c>
      <c r="E333" t="s">
        <v>368</v>
      </c>
      <c r="F333" t="s">
        <v>301</v>
      </c>
      <c r="G333">
        <v>105019</v>
      </c>
      <c r="H333" t="s">
        <v>348</v>
      </c>
      <c r="I333">
        <v>201</v>
      </c>
      <c r="J333" t="s">
        <v>304</v>
      </c>
      <c r="K333" t="s">
        <v>304</v>
      </c>
      <c r="L333" t="s">
        <v>305</v>
      </c>
      <c r="M333">
        <v>1649.62</v>
      </c>
      <c r="P333">
        <v>0</v>
      </c>
      <c r="R333" s="154"/>
      <c r="S333" s="73">
        <f t="shared" si="33"/>
        <v>188.221642</v>
      </c>
    </row>
    <row r="334" spans="1:19" ht="15">
      <c r="A334" s="161" t="s">
        <v>296</v>
      </c>
      <c r="B334" t="s">
        <v>370</v>
      </c>
      <c r="C334" t="s">
        <v>265</v>
      </c>
      <c r="D334" t="s">
        <v>327</v>
      </c>
      <c r="E334" t="s">
        <v>368</v>
      </c>
      <c r="F334" t="s">
        <v>301</v>
      </c>
      <c r="G334">
        <v>105098</v>
      </c>
      <c r="H334" t="s">
        <v>302</v>
      </c>
      <c r="I334">
        <v>201</v>
      </c>
      <c r="J334" t="s">
        <v>331</v>
      </c>
      <c r="K334" t="s">
        <v>304</v>
      </c>
      <c r="L334" t="s">
        <v>305</v>
      </c>
      <c r="M334">
        <v>-4392</v>
      </c>
      <c r="P334">
        <v>0</v>
      </c>
      <c r="R334" s="154"/>
      <c r="S334" s="73">
        <f t="shared" si="33"/>
        <v>-501.12720000000007</v>
      </c>
    </row>
    <row r="335" spans="1:19" ht="15">
      <c r="A335" s="161" t="s">
        <v>296</v>
      </c>
      <c r="B335" t="s">
        <v>370</v>
      </c>
      <c r="C335" t="s">
        <v>265</v>
      </c>
      <c r="D335" t="s">
        <v>327</v>
      </c>
      <c r="E335" t="s">
        <v>368</v>
      </c>
      <c r="F335" t="s">
        <v>301</v>
      </c>
      <c r="G335">
        <v>105099</v>
      </c>
      <c r="H335" t="s">
        <v>306</v>
      </c>
      <c r="I335">
        <v>201</v>
      </c>
      <c r="J335" t="s">
        <v>332</v>
      </c>
      <c r="K335" t="s">
        <v>304</v>
      </c>
      <c r="L335" t="s">
        <v>305</v>
      </c>
      <c r="M335">
        <v>4392</v>
      </c>
      <c r="P335">
        <v>0</v>
      </c>
      <c r="R335" s="154"/>
      <c r="S335" s="73">
        <f t="shared" si="33"/>
        <v>501.12720000000007</v>
      </c>
    </row>
    <row r="336" spans="1:19" ht="15">
      <c r="A336" s="161" t="s">
        <v>296</v>
      </c>
      <c r="B336" t="s">
        <v>370</v>
      </c>
      <c r="C336" t="s">
        <v>265</v>
      </c>
      <c r="D336" t="s">
        <v>327</v>
      </c>
      <c r="E336" t="s">
        <v>368</v>
      </c>
      <c r="F336" t="s">
        <v>301</v>
      </c>
      <c r="G336" s="213">
        <v>109001</v>
      </c>
      <c r="H336" t="s">
        <v>324</v>
      </c>
      <c r="I336">
        <v>201</v>
      </c>
      <c r="J336" t="s">
        <v>304</v>
      </c>
      <c r="K336" t="s">
        <v>304</v>
      </c>
      <c r="L336" t="s">
        <v>305</v>
      </c>
      <c r="M336">
        <v>758625.66</v>
      </c>
      <c r="P336">
        <v>744000</v>
      </c>
      <c r="Q336" s="124">
        <f t="shared" ref="Q336:Q342" si="34">M336-P336</f>
        <v>14625.660000000033</v>
      </c>
      <c r="R336" s="124">
        <f t="shared" ref="R336:R338" si="35">M336*-1.141</f>
        <v>-865591.87806000002</v>
      </c>
    </row>
    <row r="337" spans="1:19" ht="15">
      <c r="A337" s="161" t="s">
        <v>296</v>
      </c>
      <c r="B337" t="s">
        <v>370</v>
      </c>
      <c r="C337" t="s">
        <v>265</v>
      </c>
      <c r="D337" t="s">
        <v>327</v>
      </c>
      <c r="E337" t="s">
        <v>368</v>
      </c>
      <c r="F337" t="s">
        <v>301</v>
      </c>
      <c r="G337" s="213">
        <v>109001</v>
      </c>
      <c r="H337" t="s">
        <v>324</v>
      </c>
      <c r="I337">
        <v>201</v>
      </c>
      <c r="J337" t="s">
        <v>336</v>
      </c>
      <c r="K337" t="s">
        <v>304</v>
      </c>
      <c r="L337" t="s">
        <v>305</v>
      </c>
      <c r="M337">
        <v>1090.24</v>
      </c>
      <c r="P337">
        <v>0</v>
      </c>
      <c r="Q337" s="124">
        <f t="shared" si="34"/>
        <v>1090.24</v>
      </c>
      <c r="R337" s="124">
        <f t="shared" si="35"/>
        <v>-1243.9638400000001</v>
      </c>
    </row>
    <row r="338" spans="1:19" ht="15">
      <c r="A338" s="161" t="s">
        <v>296</v>
      </c>
      <c r="B338" t="s">
        <v>370</v>
      </c>
      <c r="C338" t="s">
        <v>265</v>
      </c>
      <c r="D338" t="s">
        <v>327</v>
      </c>
      <c r="E338" t="s">
        <v>368</v>
      </c>
      <c r="F338" t="s">
        <v>301</v>
      </c>
      <c r="G338" s="213">
        <v>109001</v>
      </c>
      <c r="H338" t="s">
        <v>324</v>
      </c>
      <c r="I338">
        <v>201</v>
      </c>
      <c r="J338" t="s">
        <v>357</v>
      </c>
      <c r="K338" t="s">
        <v>304</v>
      </c>
      <c r="L338" t="s">
        <v>305</v>
      </c>
      <c r="M338">
        <v>494.69</v>
      </c>
      <c r="P338">
        <v>0</v>
      </c>
      <c r="Q338" s="124">
        <f t="shared" si="34"/>
        <v>494.69</v>
      </c>
      <c r="R338" s="124">
        <f t="shared" si="35"/>
        <v>-564.44128999999998</v>
      </c>
    </row>
    <row r="339" spans="1:19" ht="15">
      <c r="A339" s="161" t="s">
        <v>296</v>
      </c>
      <c r="B339" t="s">
        <v>370</v>
      </c>
      <c r="C339" t="s">
        <v>265</v>
      </c>
      <c r="D339" t="s">
        <v>327</v>
      </c>
      <c r="E339" t="s">
        <v>368</v>
      </c>
      <c r="F339" t="s">
        <v>301</v>
      </c>
      <c r="G339" s="213">
        <v>109901</v>
      </c>
      <c r="H339" t="s">
        <v>309</v>
      </c>
      <c r="I339">
        <v>201</v>
      </c>
      <c r="J339" t="s">
        <v>304</v>
      </c>
      <c r="K339" t="s">
        <v>304</v>
      </c>
      <c r="L339" t="s">
        <v>305</v>
      </c>
      <c r="M339">
        <v>1232063.42</v>
      </c>
      <c r="P339">
        <v>1221000</v>
      </c>
      <c r="Q339" s="124">
        <f t="shared" si="34"/>
        <v>11063.419999999925</v>
      </c>
      <c r="R339" s="154"/>
    </row>
    <row r="340" spans="1:19" ht="15">
      <c r="A340" s="161" t="s">
        <v>296</v>
      </c>
      <c r="B340" t="s">
        <v>370</v>
      </c>
      <c r="C340" t="s">
        <v>265</v>
      </c>
      <c r="D340" t="s">
        <v>327</v>
      </c>
      <c r="E340" t="s">
        <v>368</v>
      </c>
      <c r="F340" t="s">
        <v>301</v>
      </c>
      <c r="G340" s="213">
        <v>109901</v>
      </c>
      <c r="H340" t="s">
        <v>309</v>
      </c>
      <c r="I340">
        <v>201</v>
      </c>
      <c r="J340" t="s">
        <v>332</v>
      </c>
      <c r="K340" t="s">
        <v>304</v>
      </c>
      <c r="L340" t="s">
        <v>305</v>
      </c>
      <c r="M340">
        <v>619.32000000000005</v>
      </c>
      <c r="P340">
        <v>0</v>
      </c>
      <c r="Q340" s="124">
        <f t="shared" si="34"/>
        <v>619.32000000000005</v>
      </c>
      <c r="R340" s="154"/>
    </row>
    <row r="341" spans="1:19" ht="15">
      <c r="A341" s="161" t="s">
        <v>296</v>
      </c>
      <c r="B341" t="s">
        <v>370</v>
      </c>
      <c r="C341" t="s">
        <v>265</v>
      </c>
      <c r="D341" t="s">
        <v>327</v>
      </c>
      <c r="E341" t="s">
        <v>368</v>
      </c>
      <c r="F341" t="s">
        <v>301</v>
      </c>
      <c r="G341" s="213">
        <v>109901</v>
      </c>
      <c r="H341" t="s">
        <v>309</v>
      </c>
      <c r="I341">
        <v>201</v>
      </c>
      <c r="J341" t="s">
        <v>336</v>
      </c>
      <c r="K341" t="s">
        <v>304</v>
      </c>
      <c r="L341" t="s">
        <v>305</v>
      </c>
      <c r="M341">
        <v>1979.52</v>
      </c>
      <c r="P341">
        <v>0</v>
      </c>
      <c r="Q341" s="124">
        <f t="shared" si="34"/>
        <v>1979.52</v>
      </c>
      <c r="R341" s="154"/>
    </row>
    <row r="342" spans="1:19" ht="15">
      <c r="A342" s="161" t="s">
        <v>296</v>
      </c>
      <c r="B342" t="s">
        <v>370</v>
      </c>
      <c r="C342" t="s">
        <v>265</v>
      </c>
      <c r="D342" t="s">
        <v>327</v>
      </c>
      <c r="E342" t="s">
        <v>368</v>
      </c>
      <c r="F342" t="s">
        <v>301</v>
      </c>
      <c r="G342" s="213">
        <v>109901</v>
      </c>
      <c r="H342" t="s">
        <v>309</v>
      </c>
      <c r="I342">
        <v>201</v>
      </c>
      <c r="J342" t="s">
        <v>357</v>
      </c>
      <c r="K342" t="s">
        <v>304</v>
      </c>
      <c r="L342" t="s">
        <v>305</v>
      </c>
      <c r="M342">
        <v>805.85</v>
      </c>
      <c r="P342">
        <v>0</v>
      </c>
      <c r="Q342" s="124">
        <f t="shared" si="34"/>
        <v>805.85</v>
      </c>
      <c r="R342" s="154"/>
    </row>
    <row r="343" spans="1:19" ht="15">
      <c r="A343" s="161" t="s">
        <v>296</v>
      </c>
      <c r="B343" t="s">
        <v>371</v>
      </c>
      <c r="C343" t="s">
        <v>266</v>
      </c>
      <c r="D343" t="s">
        <v>327</v>
      </c>
      <c r="E343" t="s">
        <v>368</v>
      </c>
      <c r="F343" t="s">
        <v>301</v>
      </c>
      <c r="G343">
        <v>101001</v>
      </c>
      <c r="H343" t="s">
        <v>329</v>
      </c>
      <c r="I343">
        <v>201</v>
      </c>
      <c r="J343" t="s">
        <v>304</v>
      </c>
      <c r="K343" t="s">
        <v>304</v>
      </c>
      <c r="L343" t="s">
        <v>305</v>
      </c>
      <c r="M343">
        <v>9621394.2599999998</v>
      </c>
      <c r="P343">
        <v>10349000</v>
      </c>
      <c r="R343" s="154"/>
      <c r="S343" s="73">
        <f t="shared" ref="S343:S358" si="36">M343*$S$7*1.141</f>
        <v>1097801.085066</v>
      </c>
    </row>
    <row r="344" spans="1:19" ht="15">
      <c r="A344" s="161" t="s">
        <v>296</v>
      </c>
      <c r="B344" t="s">
        <v>371</v>
      </c>
      <c r="C344" t="s">
        <v>266</v>
      </c>
      <c r="D344" t="s">
        <v>327</v>
      </c>
      <c r="E344" t="s">
        <v>368</v>
      </c>
      <c r="F344" t="s">
        <v>301</v>
      </c>
      <c r="G344">
        <v>101002</v>
      </c>
      <c r="H344" t="s">
        <v>335</v>
      </c>
      <c r="I344">
        <v>201</v>
      </c>
      <c r="J344" t="s">
        <v>304</v>
      </c>
      <c r="K344" t="s">
        <v>304</v>
      </c>
      <c r="L344" t="s">
        <v>305</v>
      </c>
      <c r="M344">
        <v>663896.72</v>
      </c>
      <c r="P344">
        <v>26000</v>
      </c>
      <c r="R344" s="154"/>
      <c r="S344" s="73">
        <f t="shared" si="36"/>
        <v>75750.615752000012</v>
      </c>
    </row>
    <row r="345" spans="1:19" ht="15">
      <c r="A345" s="161" t="s">
        <v>296</v>
      </c>
      <c r="B345" t="s">
        <v>371</v>
      </c>
      <c r="C345" t="s">
        <v>266</v>
      </c>
      <c r="D345" t="s">
        <v>327</v>
      </c>
      <c r="E345" t="s">
        <v>368</v>
      </c>
      <c r="F345" t="s">
        <v>301</v>
      </c>
      <c r="G345">
        <v>101039</v>
      </c>
      <c r="H345" t="s">
        <v>312</v>
      </c>
      <c r="I345">
        <v>201</v>
      </c>
      <c r="J345" t="s">
        <v>304</v>
      </c>
      <c r="K345" t="s">
        <v>304</v>
      </c>
      <c r="L345" t="s">
        <v>305</v>
      </c>
      <c r="M345">
        <v>211845.17</v>
      </c>
      <c r="P345">
        <v>0</v>
      </c>
      <c r="R345" s="154"/>
      <c r="S345" s="73">
        <f t="shared" si="36"/>
        <v>24171.533897000005</v>
      </c>
    </row>
    <row r="346" spans="1:19" ht="15">
      <c r="A346" s="161" t="s">
        <v>296</v>
      </c>
      <c r="B346" t="s">
        <v>371</v>
      </c>
      <c r="C346" t="s">
        <v>266</v>
      </c>
      <c r="D346" t="s">
        <v>327</v>
      </c>
      <c r="E346" t="s">
        <v>368</v>
      </c>
      <c r="F346" t="s">
        <v>301</v>
      </c>
      <c r="G346">
        <v>102002</v>
      </c>
      <c r="H346" t="s">
        <v>338</v>
      </c>
      <c r="I346">
        <v>201</v>
      </c>
      <c r="J346" t="s">
        <v>304</v>
      </c>
      <c r="K346" t="s">
        <v>304</v>
      </c>
      <c r="L346" t="s">
        <v>305</v>
      </c>
      <c r="M346">
        <v>9612.2999999999993</v>
      </c>
      <c r="P346">
        <v>0</v>
      </c>
      <c r="R346" s="154"/>
      <c r="S346" s="73">
        <f t="shared" si="36"/>
        <v>1096.76343</v>
      </c>
    </row>
    <row r="347" spans="1:19" ht="15">
      <c r="A347" s="161" t="s">
        <v>296</v>
      </c>
      <c r="B347" t="s">
        <v>371</v>
      </c>
      <c r="C347" t="s">
        <v>266</v>
      </c>
      <c r="D347" t="s">
        <v>327</v>
      </c>
      <c r="E347" t="s">
        <v>368</v>
      </c>
      <c r="F347" t="s">
        <v>301</v>
      </c>
      <c r="G347">
        <v>102003</v>
      </c>
      <c r="H347" t="s">
        <v>339</v>
      </c>
      <c r="I347">
        <v>201</v>
      </c>
      <c r="J347" t="s">
        <v>304</v>
      </c>
      <c r="K347" t="s">
        <v>304</v>
      </c>
      <c r="L347" t="s">
        <v>305</v>
      </c>
      <c r="M347">
        <v>135097.07999999999</v>
      </c>
      <c r="P347">
        <v>309000</v>
      </c>
      <c r="R347" s="154"/>
      <c r="S347" s="73">
        <f t="shared" si="36"/>
        <v>15414.576827999999</v>
      </c>
    </row>
    <row r="348" spans="1:19" ht="15">
      <c r="A348" s="161" t="s">
        <v>296</v>
      </c>
      <c r="B348" t="s">
        <v>371</v>
      </c>
      <c r="C348" t="s">
        <v>266</v>
      </c>
      <c r="D348" t="s">
        <v>327</v>
      </c>
      <c r="E348" t="s">
        <v>368</v>
      </c>
      <c r="F348" t="s">
        <v>301</v>
      </c>
      <c r="G348">
        <v>102005</v>
      </c>
      <c r="H348" t="s">
        <v>340</v>
      </c>
      <c r="I348">
        <v>201</v>
      </c>
      <c r="J348" t="s">
        <v>304</v>
      </c>
      <c r="K348" t="s">
        <v>304</v>
      </c>
      <c r="L348" t="s">
        <v>305</v>
      </c>
      <c r="M348">
        <v>57115</v>
      </c>
      <c r="P348">
        <v>0</v>
      </c>
      <c r="R348" s="154"/>
      <c r="S348" s="73">
        <f t="shared" si="36"/>
        <v>6516.8215</v>
      </c>
    </row>
    <row r="349" spans="1:19" ht="15">
      <c r="A349" s="161" t="s">
        <v>296</v>
      </c>
      <c r="B349" t="s">
        <v>371</v>
      </c>
      <c r="C349" t="s">
        <v>266</v>
      </c>
      <c r="D349" t="s">
        <v>327</v>
      </c>
      <c r="E349" t="s">
        <v>368</v>
      </c>
      <c r="F349" t="s">
        <v>301</v>
      </c>
      <c r="G349">
        <v>102062</v>
      </c>
      <c r="H349" t="s">
        <v>341</v>
      </c>
      <c r="I349">
        <v>201</v>
      </c>
      <c r="J349" t="s">
        <v>304</v>
      </c>
      <c r="K349" t="s">
        <v>304</v>
      </c>
      <c r="L349" t="s">
        <v>305</v>
      </c>
      <c r="M349">
        <v>6967.2</v>
      </c>
      <c r="P349">
        <v>0</v>
      </c>
      <c r="R349" s="154"/>
      <c r="S349" s="73">
        <f t="shared" si="36"/>
        <v>794.95752000000005</v>
      </c>
    </row>
    <row r="350" spans="1:19" ht="15">
      <c r="A350" s="161" t="s">
        <v>296</v>
      </c>
      <c r="B350" t="s">
        <v>371</v>
      </c>
      <c r="C350" t="s">
        <v>266</v>
      </c>
      <c r="D350" t="s">
        <v>327</v>
      </c>
      <c r="E350" t="s">
        <v>368</v>
      </c>
      <c r="F350" t="s">
        <v>301</v>
      </c>
      <c r="G350">
        <v>103001</v>
      </c>
      <c r="H350" t="s">
        <v>342</v>
      </c>
      <c r="I350">
        <v>201</v>
      </c>
      <c r="J350" t="s">
        <v>304</v>
      </c>
      <c r="K350" t="s">
        <v>304</v>
      </c>
      <c r="L350" t="s">
        <v>305</v>
      </c>
      <c r="M350">
        <v>203090.54</v>
      </c>
      <c r="P350">
        <v>0</v>
      </c>
      <c r="R350" s="154"/>
      <c r="S350" s="73">
        <f t="shared" si="36"/>
        <v>23172.630614000005</v>
      </c>
    </row>
    <row r="351" spans="1:19" ht="15">
      <c r="A351" s="161" t="s">
        <v>296</v>
      </c>
      <c r="B351" t="s">
        <v>371</v>
      </c>
      <c r="C351" t="s">
        <v>266</v>
      </c>
      <c r="D351" t="s">
        <v>327</v>
      </c>
      <c r="E351" t="s">
        <v>368</v>
      </c>
      <c r="F351" t="s">
        <v>301</v>
      </c>
      <c r="G351">
        <v>103062</v>
      </c>
      <c r="H351" t="s">
        <v>343</v>
      </c>
      <c r="I351">
        <v>201</v>
      </c>
      <c r="J351" t="s">
        <v>304</v>
      </c>
      <c r="K351" t="s">
        <v>304</v>
      </c>
      <c r="L351" t="s">
        <v>305</v>
      </c>
      <c r="M351">
        <v>752.64</v>
      </c>
      <c r="P351">
        <v>0</v>
      </c>
      <c r="R351" s="154"/>
      <c r="S351" s="73">
        <f t="shared" si="36"/>
        <v>85.876223999999993</v>
      </c>
    </row>
    <row r="352" spans="1:19" ht="15">
      <c r="A352" s="161" t="s">
        <v>296</v>
      </c>
      <c r="B352" t="s">
        <v>371</v>
      </c>
      <c r="C352" t="s">
        <v>266</v>
      </c>
      <c r="D352" t="s">
        <v>327</v>
      </c>
      <c r="E352" t="s">
        <v>368</v>
      </c>
      <c r="F352" t="s">
        <v>301</v>
      </c>
      <c r="G352">
        <v>103069</v>
      </c>
      <c r="H352" t="s">
        <v>344</v>
      </c>
      <c r="I352">
        <v>201</v>
      </c>
      <c r="J352" t="s">
        <v>304</v>
      </c>
      <c r="K352" t="s">
        <v>304</v>
      </c>
      <c r="L352" t="s">
        <v>305</v>
      </c>
      <c r="M352">
        <v>12186.04</v>
      </c>
      <c r="P352">
        <v>0</v>
      </c>
      <c r="R352" s="154"/>
      <c r="S352" s="73">
        <f t="shared" si="36"/>
        <v>1390.4271640000002</v>
      </c>
    </row>
    <row r="353" spans="1:19" ht="15">
      <c r="A353" s="161" t="s">
        <v>296</v>
      </c>
      <c r="B353" t="s">
        <v>371</v>
      </c>
      <c r="C353" t="s">
        <v>266</v>
      </c>
      <c r="D353" t="s">
        <v>327</v>
      </c>
      <c r="E353" t="s">
        <v>368</v>
      </c>
      <c r="F353" t="s">
        <v>301</v>
      </c>
      <c r="G353">
        <v>104000</v>
      </c>
      <c r="H353" t="s">
        <v>345</v>
      </c>
      <c r="I353">
        <v>201</v>
      </c>
      <c r="J353" t="s">
        <v>304</v>
      </c>
      <c r="K353" t="s">
        <v>304</v>
      </c>
      <c r="L353" t="s">
        <v>305</v>
      </c>
      <c r="M353">
        <v>121542.21</v>
      </c>
      <c r="P353">
        <v>87000</v>
      </c>
      <c r="R353" s="154"/>
      <c r="S353" s="73">
        <f t="shared" si="36"/>
        <v>13867.966161000002</v>
      </c>
    </row>
    <row r="354" spans="1:19" ht="15">
      <c r="A354" s="161" t="s">
        <v>296</v>
      </c>
      <c r="B354" t="s">
        <v>371</v>
      </c>
      <c r="C354" t="s">
        <v>266</v>
      </c>
      <c r="D354" t="s">
        <v>327</v>
      </c>
      <c r="E354" t="s">
        <v>368</v>
      </c>
      <c r="F354" t="s">
        <v>301</v>
      </c>
      <c r="G354">
        <v>105003</v>
      </c>
      <c r="H354" t="s">
        <v>346</v>
      </c>
      <c r="I354">
        <v>201</v>
      </c>
      <c r="J354" t="s">
        <v>304</v>
      </c>
      <c r="K354" t="s">
        <v>304</v>
      </c>
      <c r="L354" t="s">
        <v>305</v>
      </c>
      <c r="M354">
        <v>489613.35</v>
      </c>
      <c r="P354">
        <v>0</v>
      </c>
      <c r="R354" s="154"/>
      <c r="S354" s="73">
        <f t="shared" si="36"/>
        <v>55864.883235000001</v>
      </c>
    </row>
    <row r="355" spans="1:19" ht="15">
      <c r="A355" s="161" t="s">
        <v>296</v>
      </c>
      <c r="B355" t="s">
        <v>371</v>
      </c>
      <c r="C355" t="s">
        <v>266</v>
      </c>
      <c r="D355" t="s">
        <v>327</v>
      </c>
      <c r="E355" t="s">
        <v>368</v>
      </c>
      <c r="F355" t="s">
        <v>301</v>
      </c>
      <c r="G355">
        <v>105010</v>
      </c>
      <c r="H355" t="s">
        <v>347</v>
      </c>
      <c r="I355">
        <v>201</v>
      </c>
      <c r="J355" t="s">
        <v>304</v>
      </c>
      <c r="K355" t="s">
        <v>304</v>
      </c>
      <c r="L355" t="s">
        <v>305</v>
      </c>
      <c r="M355">
        <v>4200.24</v>
      </c>
      <c r="P355">
        <v>0</v>
      </c>
      <c r="R355" s="154"/>
      <c r="S355" s="73">
        <f t="shared" si="36"/>
        <v>479.24738400000001</v>
      </c>
    </row>
    <row r="356" spans="1:19" ht="15">
      <c r="A356" s="161" t="s">
        <v>296</v>
      </c>
      <c r="B356" t="s">
        <v>371</v>
      </c>
      <c r="C356" t="s">
        <v>266</v>
      </c>
      <c r="D356" t="s">
        <v>327</v>
      </c>
      <c r="E356" t="s">
        <v>368</v>
      </c>
      <c r="F356" t="s">
        <v>301</v>
      </c>
      <c r="G356">
        <v>105019</v>
      </c>
      <c r="H356" t="s">
        <v>348</v>
      </c>
      <c r="I356">
        <v>201</v>
      </c>
      <c r="J356" t="s">
        <v>304</v>
      </c>
      <c r="K356" t="s">
        <v>304</v>
      </c>
      <c r="L356" t="s">
        <v>305</v>
      </c>
      <c r="M356">
        <v>414.4</v>
      </c>
      <c r="P356">
        <v>0</v>
      </c>
      <c r="R356" s="154"/>
      <c r="S356" s="73">
        <f t="shared" si="36"/>
        <v>47.28304</v>
      </c>
    </row>
    <row r="357" spans="1:19" ht="15">
      <c r="A357" s="161" t="s">
        <v>296</v>
      </c>
      <c r="B357" t="s">
        <v>371</v>
      </c>
      <c r="C357" t="s">
        <v>266</v>
      </c>
      <c r="D357" t="s">
        <v>327</v>
      </c>
      <c r="E357" t="s">
        <v>368</v>
      </c>
      <c r="F357" t="s">
        <v>301</v>
      </c>
      <c r="G357">
        <v>105098</v>
      </c>
      <c r="H357" t="s">
        <v>302</v>
      </c>
      <c r="I357">
        <v>201</v>
      </c>
      <c r="J357" t="s">
        <v>331</v>
      </c>
      <c r="K357" t="s">
        <v>304</v>
      </c>
      <c r="L357" t="s">
        <v>305</v>
      </c>
      <c r="M357">
        <v>-8784</v>
      </c>
      <c r="P357">
        <v>0</v>
      </c>
      <c r="R357" s="154"/>
      <c r="S357" s="73">
        <f t="shared" si="36"/>
        <v>-1002.2544000000001</v>
      </c>
    </row>
    <row r="358" spans="1:19" ht="15">
      <c r="A358" s="161" t="s">
        <v>296</v>
      </c>
      <c r="B358" t="s">
        <v>371</v>
      </c>
      <c r="C358" t="s">
        <v>266</v>
      </c>
      <c r="D358" t="s">
        <v>327</v>
      </c>
      <c r="E358" t="s">
        <v>368</v>
      </c>
      <c r="F358" t="s">
        <v>301</v>
      </c>
      <c r="G358">
        <v>105099</v>
      </c>
      <c r="H358" t="s">
        <v>306</v>
      </c>
      <c r="I358">
        <v>201</v>
      </c>
      <c r="J358" t="s">
        <v>332</v>
      </c>
      <c r="K358" t="s">
        <v>304</v>
      </c>
      <c r="L358" t="s">
        <v>305</v>
      </c>
      <c r="M358">
        <v>8784</v>
      </c>
      <c r="P358">
        <v>0</v>
      </c>
      <c r="R358" s="154"/>
      <c r="S358" s="73">
        <f t="shared" si="36"/>
        <v>1002.2544000000001</v>
      </c>
    </row>
    <row r="359" spans="1:19" ht="15">
      <c r="A359" s="161" t="s">
        <v>296</v>
      </c>
      <c r="B359" t="s">
        <v>371</v>
      </c>
      <c r="C359" t="s">
        <v>266</v>
      </c>
      <c r="D359" t="s">
        <v>327</v>
      </c>
      <c r="E359" t="s">
        <v>368</v>
      </c>
      <c r="F359" t="s">
        <v>301</v>
      </c>
      <c r="G359" s="213">
        <v>109001</v>
      </c>
      <c r="H359" t="s">
        <v>324</v>
      </c>
      <c r="I359">
        <v>201</v>
      </c>
      <c r="J359" t="s">
        <v>304</v>
      </c>
      <c r="K359" t="s">
        <v>304</v>
      </c>
      <c r="L359" t="s">
        <v>305</v>
      </c>
      <c r="M359">
        <v>1047223.58</v>
      </c>
      <c r="P359">
        <v>1013000</v>
      </c>
      <c r="Q359" s="124">
        <f t="shared" ref="Q359:Q361" si="37">M359-P359</f>
        <v>34223.579999999958</v>
      </c>
      <c r="R359" s="124">
        <f>M359*-1.141</f>
        <v>-1194882.1047799999</v>
      </c>
    </row>
    <row r="360" spans="1:19" ht="15">
      <c r="A360" s="161" t="s">
        <v>296</v>
      </c>
      <c r="B360" t="s">
        <v>371</v>
      </c>
      <c r="C360" t="s">
        <v>266</v>
      </c>
      <c r="D360" t="s">
        <v>327</v>
      </c>
      <c r="E360" t="s">
        <v>368</v>
      </c>
      <c r="F360" t="s">
        <v>301</v>
      </c>
      <c r="G360" s="213">
        <v>109901</v>
      </c>
      <c r="H360" t="s">
        <v>309</v>
      </c>
      <c r="I360">
        <v>201</v>
      </c>
      <c r="J360" t="s">
        <v>304</v>
      </c>
      <c r="K360" t="s">
        <v>304</v>
      </c>
      <c r="L360" t="s">
        <v>305</v>
      </c>
      <c r="M360">
        <v>1702392.18</v>
      </c>
      <c r="P360">
        <v>1662000</v>
      </c>
      <c r="Q360" s="124">
        <f t="shared" si="37"/>
        <v>40392.179999999935</v>
      </c>
      <c r="R360" s="154"/>
    </row>
    <row r="361" spans="1:19" ht="15">
      <c r="A361" s="161" t="s">
        <v>296</v>
      </c>
      <c r="B361" t="s">
        <v>371</v>
      </c>
      <c r="C361" t="s">
        <v>266</v>
      </c>
      <c r="D361" t="s">
        <v>327</v>
      </c>
      <c r="E361" t="s">
        <v>368</v>
      </c>
      <c r="F361" t="s">
        <v>301</v>
      </c>
      <c r="G361" s="213">
        <v>109901</v>
      </c>
      <c r="H361" t="s">
        <v>309</v>
      </c>
      <c r="I361">
        <v>201</v>
      </c>
      <c r="J361" t="s">
        <v>332</v>
      </c>
      <c r="K361" t="s">
        <v>304</v>
      </c>
      <c r="L361" t="s">
        <v>305</v>
      </c>
      <c r="M361">
        <v>1238.6400000000001</v>
      </c>
      <c r="P361">
        <v>0</v>
      </c>
      <c r="Q361" s="124">
        <f t="shared" si="37"/>
        <v>1238.6400000000001</v>
      </c>
      <c r="R361" s="154"/>
    </row>
    <row r="362" spans="1:19" ht="15">
      <c r="A362" s="161" t="s">
        <v>296</v>
      </c>
      <c r="B362" t="s">
        <v>372</v>
      </c>
      <c r="C362" t="s">
        <v>267</v>
      </c>
      <c r="D362" t="s">
        <v>327</v>
      </c>
      <c r="E362" t="s">
        <v>368</v>
      </c>
      <c r="F362" t="s">
        <v>301</v>
      </c>
      <c r="G362">
        <v>101001</v>
      </c>
      <c r="H362" t="s">
        <v>329</v>
      </c>
      <c r="I362">
        <v>201</v>
      </c>
      <c r="J362" t="s">
        <v>304</v>
      </c>
      <c r="K362" t="s">
        <v>304</v>
      </c>
      <c r="L362" t="s">
        <v>305</v>
      </c>
      <c r="M362">
        <v>7514978.75</v>
      </c>
      <c r="P362">
        <v>7825000</v>
      </c>
      <c r="R362" s="154"/>
      <c r="S362" s="73">
        <f t="shared" ref="S362:S377" si="38">M362*$S$7*1.141</f>
        <v>857459.07537500001</v>
      </c>
    </row>
    <row r="363" spans="1:19" ht="15">
      <c r="A363" s="161" t="s">
        <v>296</v>
      </c>
      <c r="B363" t="s">
        <v>372</v>
      </c>
      <c r="C363" t="s">
        <v>267</v>
      </c>
      <c r="D363" t="s">
        <v>327</v>
      </c>
      <c r="E363" t="s">
        <v>368</v>
      </c>
      <c r="F363" t="s">
        <v>301</v>
      </c>
      <c r="G363">
        <v>101002</v>
      </c>
      <c r="H363" t="s">
        <v>335</v>
      </c>
      <c r="I363">
        <v>201</v>
      </c>
      <c r="J363" t="s">
        <v>304</v>
      </c>
      <c r="K363" t="s">
        <v>304</v>
      </c>
      <c r="L363" t="s">
        <v>305</v>
      </c>
      <c r="M363">
        <v>-27325.06</v>
      </c>
      <c r="P363">
        <v>0</v>
      </c>
      <c r="R363" s="154"/>
      <c r="S363" s="73">
        <f t="shared" si="38"/>
        <v>-3117.7893460000005</v>
      </c>
    </row>
    <row r="364" spans="1:19" ht="15">
      <c r="A364" s="161" t="s">
        <v>296</v>
      </c>
      <c r="B364" t="s">
        <v>372</v>
      </c>
      <c r="C364" t="s">
        <v>267</v>
      </c>
      <c r="D364" t="s">
        <v>327</v>
      </c>
      <c r="E364" t="s">
        <v>368</v>
      </c>
      <c r="F364" t="s">
        <v>301</v>
      </c>
      <c r="G364">
        <v>101039</v>
      </c>
      <c r="H364" t="s">
        <v>312</v>
      </c>
      <c r="I364">
        <v>201</v>
      </c>
      <c r="J364" t="s">
        <v>304</v>
      </c>
      <c r="K364" t="s">
        <v>304</v>
      </c>
      <c r="L364" t="s">
        <v>305</v>
      </c>
      <c r="M364">
        <v>174994.62</v>
      </c>
      <c r="P364">
        <v>0</v>
      </c>
      <c r="R364" s="154"/>
      <c r="S364" s="73">
        <f t="shared" si="38"/>
        <v>19966.886141999999</v>
      </c>
    </row>
    <row r="365" spans="1:19" ht="15">
      <c r="A365" s="161" t="s">
        <v>296</v>
      </c>
      <c r="B365" t="s">
        <v>372</v>
      </c>
      <c r="C365" t="s">
        <v>267</v>
      </c>
      <c r="D365" t="s">
        <v>327</v>
      </c>
      <c r="E365" t="s">
        <v>368</v>
      </c>
      <c r="F365" t="s">
        <v>301</v>
      </c>
      <c r="G365">
        <v>102003</v>
      </c>
      <c r="H365" t="s">
        <v>339</v>
      </c>
      <c r="I365">
        <v>201</v>
      </c>
      <c r="J365" t="s">
        <v>304</v>
      </c>
      <c r="K365" t="s">
        <v>304</v>
      </c>
      <c r="L365" t="s">
        <v>305</v>
      </c>
      <c r="M365">
        <v>766620.59</v>
      </c>
      <c r="P365">
        <v>255000</v>
      </c>
      <c r="R365" s="154"/>
      <c r="S365" s="73">
        <f t="shared" si="38"/>
        <v>87471.409318999999</v>
      </c>
    </row>
    <row r="366" spans="1:19" ht="15">
      <c r="A366" s="161" t="s">
        <v>296</v>
      </c>
      <c r="B366" t="s">
        <v>372</v>
      </c>
      <c r="C366" t="s">
        <v>267</v>
      </c>
      <c r="D366" t="s">
        <v>327</v>
      </c>
      <c r="E366" t="s">
        <v>368</v>
      </c>
      <c r="F366" t="s">
        <v>301</v>
      </c>
      <c r="G366">
        <v>102005</v>
      </c>
      <c r="H366" t="s">
        <v>340</v>
      </c>
      <c r="I366">
        <v>201</v>
      </c>
      <c r="J366" t="s">
        <v>304</v>
      </c>
      <c r="K366" t="s">
        <v>304</v>
      </c>
      <c r="L366" t="s">
        <v>305</v>
      </c>
      <c r="M366">
        <v>120718.13</v>
      </c>
      <c r="P366">
        <v>24000</v>
      </c>
      <c r="R366" s="154"/>
      <c r="S366" s="73">
        <f t="shared" si="38"/>
        <v>13773.938633000002</v>
      </c>
    </row>
    <row r="367" spans="1:19" ht="15">
      <c r="A367" s="161" t="s">
        <v>296</v>
      </c>
      <c r="B367" t="s">
        <v>372</v>
      </c>
      <c r="C367" t="s">
        <v>267</v>
      </c>
      <c r="D367" t="s">
        <v>327</v>
      </c>
      <c r="E367" t="s">
        <v>368</v>
      </c>
      <c r="F367" t="s">
        <v>301</v>
      </c>
      <c r="G367">
        <v>102062</v>
      </c>
      <c r="H367" t="s">
        <v>341</v>
      </c>
      <c r="I367">
        <v>201</v>
      </c>
      <c r="J367" t="s">
        <v>304</v>
      </c>
      <c r="K367" t="s">
        <v>304</v>
      </c>
      <c r="L367" t="s">
        <v>305</v>
      </c>
      <c r="M367">
        <v>2692.42</v>
      </c>
      <c r="P367">
        <v>0</v>
      </c>
      <c r="R367" s="154"/>
      <c r="S367" s="73">
        <f t="shared" si="38"/>
        <v>307.20512200000002</v>
      </c>
    </row>
    <row r="368" spans="1:19" ht="15">
      <c r="A368" s="161" t="s">
        <v>296</v>
      </c>
      <c r="B368" t="s">
        <v>372</v>
      </c>
      <c r="C368" t="s">
        <v>267</v>
      </c>
      <c r="D368" t="s">
        <v>327</v>
      </c>
      <c r="E368" t="s">
        <v>368</v>
      </c>
      <c r="F368" t="s">
        <v>301</v>
      </c>
      <c r="G368">
        <v>103001</v>
      </c>
      <c r="H368" t="s">
        <v>342</v>
      </c>
      <c r="I368">
        <v>201</v>
      </c>
      <c r="J368" t="s">
        <v>304</v>
      </c>
      <c r="K368" t="s">
        <v>304</v>
      </c>
      <c r="L368" t="s">
        <v>305</v>
      </c>
      <c r="M368">
        <v>120168.02</v>
      </c>
      <c r="P368">
        <v>0</v>
      </c>
      <c r="R368" s="154"/>
      <c r="S368" s="73">
        <f t="shared" si="38"/>
        <v>13711.171082000003</v>
      </c>
    </row>
    <row r="369" spans="1:19" ht="15">
      <c r="A369" s="161" t="s">
        <v>296</v>
      </c>
      <c r="B369" t="s">
        <v>372</v>
      </c>
      <c r="C369" t="s">
        <v>267</v>
      </c>
      <c r="D369" t="s">
        <v>327</v>
      </c>
      <c r="E369" t="s">
        <v>368</v>
      </c>
      <c r="F369" t="s">
        <v>301</v>
      </c>
      <c r="G369">
        <v>103001</v>
      </c>
      <c r="H369" t="s">
        <v>342</v>
      </c>
      <c r="I369">
        <v>201</v>
      </c>
      <c r="J369" t="s">
        <v>357</v>
      </c>
      <c r="K369" t="s">
        <v>304</v>
      </c>
      <c r="L369" t="s">
        <v>305</v>
      </c>
      <c r="M369">
        <v>20365.68</v>
      </c>
      <c r="P369">
        <v>0</v>
      </c>
      <c r="R369" s="154"/>
      <c r="S369" s="73">
        <f t="shared" si="38"/>
        <v>2323.7240880000004</v>
      </c>
    </row>
    <row r="370" spans="1:19" ht="15">
      <c r="A370" s="161" t="s">
        <v>296</v>
      </c>
      <c r="B370" t="s">
        <v>372</v>
      </c>
      <c r="C370" t="s">
        <v>267</v>
      </c>
      <c r="D370" t="s">
        <v>327</v>
      </c>
      <c r="E370" t="s">
        <v>368</v>
      </c>
      <c r="F370" t="s">
        <v>301</v>
      </c>
      <c r="G370">
        <v>103062</v>
      </c>
      <c r="H370" t="s">
        <v>343</v>
      </c>
      <c r="I370">
        <v>201</v>
      </c>
      <c r="J370" t="s">
        <v>304</v>
      </c>
      <c r="K370" t="s">
        <v>304</v>
      </c>
      <c r="L370" t="s">
        <v>305</v>
      </c>
      <c r="M370">
        <v>430.08</v>
      </c>
      <c r="P370">
        <v>0</v>
      </c>
      <c r="R370" s="154"/>
      <c r="S370" s="73">
        <f t="shared" si="38"/>
        <v>49.072128000000006</v>
      </c>
    </row>
    <row r="371" spans="1:19" ht="15">
      <c r="A371" s="161" t="s">
        <v>296</v>
      </c>
      <c r="B371" t="s">
        <v>372</v>
      </c>
      <c r="C371" t="s">
        <v>267</v>
      </c>
      <c r="D371" t="s">
        <v>327</v>
      </c>
      <c r="E371" t="s">
        <v>368</v>
      </c>
      <c r="F371" t="s">
        <v>301</v>
      </c>
      <c r="G371">
        <v>103069</v>
      </c>
      <c r="H371" t="s">
        <v>344</v>
      </c>
      <c r="I371">
        <v>201</v>
      </c>
      <c r="J371" t="s">
        <v>304</v>
      </c>
      <c r="K371" t="s">
        <v>304</v>
      </c>
      <c r="L371" t="s">
        <v>305</v>
      </c>
      <c r="M371">
        <v>5796.63</v>
      </c>
      <c r="P371">
        <v>0</v>
      </c>
      <c r="R371" s="154"/>
      <c r="S371" s="73">
        <f t="shared" si="38"/>
        <v>661.39548300000001</v>
      </c>
    </row>
    <row r="372" spans="1:19" ht="15">
      <c r="A372" s="161" t="s">
        <v>296</v>
      </c>
      <c r="B372" t="s">
        <v>372</v>
      </c>
      <c r="C372" t="s">
        <v>267</v>
      </c>
      <c r="D372" t="s">
        <v>327</v>
      </c>
      <c r="E372" t="s">
        <v>368</v>
      </c>
      <c r="F372" t="s">
        <v>301</v>
      </c>
      <c r="G372">
        <v>104000</v>
      </c>
      <c r="H372" t="s">
        <v>345</v>
      </c>
      <c r="I372">
        <v>201</v>
      </c>
      <c r="J372" t="s">
        <v>304</v>
      </c>
      <c r="K372" t="s">
        <v>304</v>
      </c>
      <c r="L372" t="s">
        <v>305</v>
      </c>
      <c r="M372">
        <v>74394.75</v>
      </c>
      <c r="P372">
        <v>71000</v>
      </c>
      <c r="R372" s="154"/>
      <c r="S372" s="73">
        <f t="shared" si="38"/>
        <v>8488.4409750000013</v>
      </c>
    </row>
    <row r="373" spans="1:19" ht="15">
      <c r="A373" s="161" t="s">
        <v>296</v>
      </c>
      <c r="B373" t="s">
        <v>372</v>
      </c>
      <c r="C373" t="s">
        <v>267</v>
      </c>
      <c r="D373" t="s">
        <v>327</v>
      </c>
      <c r="E373" t="s">
        <v>368</v>
      </c>
      <c r="F373" t="s">
        <v>301</v>
      </c>
      <c r="G373">
        <v>105003</v>
      </c>
      <c r="H373" t="s">
        <v>346</v>
      </c>
      <c r="I373">
        <v>201</v>
      </c>
      <c r="J373" t="s">
        <v>304</v>
      </c>
      <c r="K373" t="s">
        <v>304</v>
      </c>
      <c r="L373" t="s">
        <v>305</v>
      </c>
      <c r="M373">
        <v>134946.79</v>
      </c>
      <c r="P373">
        <v>0</v>
      </c>
      <c r="R373" s="154"/>
      <c r="S373" s="73">
        <f t="shared" si="38"/>
        <v>15397.428739000003</v>
      </c>
    </row>
    <row r="374" spans="1:19" ht="15">
      <c r="A374" s="161" t="s">
        <v>296</v>
      </c>
      <c r="B374" t="s">
        <v>372</v>
      </c>
      <c r="C374" t="s">
        <v>267</v>
      </c>
      <c r="D374" t="s">
        <v>327</v>
      </c>
      <c r="E374" t="s">
        <v>368</v>
      </c>
      <c r="F374" t="s">
        <v>301</v>
      </c>
      <c r="G374">
        <v>105010</v>
      </c>
      <c r="H374" t="s">
        <v>347</v>
      </c>
      <c r="I374">
        <v>201</v>
      </c>
      <c r="J374" t="s">
        <v>304</v>
      </c>
      <c r="K374" t="s">
        <v>304</v>
      </c>
      <c r="L374" t="s">
        <v>305</v>
      </c>
      <c r="M374">
        <v>818.53</v>
      </c>
      <c r="P374">
        <v>0</v>
      </c>
      <c r="R374" s="154"/>
      <c r="S374" s="73">
        <f t="shared" si="38"/>
        <v>93.394273000000013</v>
      </c>
    </row>
    <row r="375" spans="1:19" ht="15">
      <c r="A375" s="161" t="s">
        <v>296</v>
      </c>
      <c r="B375" t="s">
        <v>372</v>
      </c>
      <c r="C375" t="s">
        <v>267</v>
      </c>
      <c r="D375" t="s">
        <v>327</v>
      </c>
      <c r="E375" t="s">
        <v>368</v>
      </c>
      <c r="F375" t="s">
        <v>301</v>
      </c>
      <c r="G375">
        <v>105019</v>
      </c>
      <c r="H375" t="s">
        <v>348</v>
      </c>
      <c r="I375">
        <v>201</v>
      </c>
      <c r="J375" t="s">
        <v>304</v>
      </c>
      <c r="K375" t="s">
        <v>304</v>
      </c>
      <c r="L375" t="s">
        <v>305</v>
      </c>
      <c r="M375">
        <v>2886.46</v>
      </c>
      <c r="P375">
        <v>0</v>
      </c>
      <c r="R375" s="154"/>
      <c r="S375" s="73">
        <f t="shared" si="38"/>
        <v>329.34508600000004</v>
      </c>
    </row>
    <row r="376" spans="1:19" ht="15">
      <c r="A376" s="161" t="s">
        <v>296</v>
      </c>
      <c r="B376" t="s">
        <v>372</v>
      </c>
      <c r="C376" t="s">
        <v>267</v>
      </c>
      <c r="D376" t="s">
        <v>327</v>
      </c>
      <c r="E376" t="s">
        <v>368</v>
      </c>
      <c r="F376" t="s">
        <v>301</v>
      </c>
      <c r="G376">
        <v>105098</v>
      </c>
      <c r="H376" t="s">
        <v>302</v>
      </c>
      <c r="I376">
        <v>201</v>
      </c>
      <c r="J376" t="s">
        <v>331</v>
      </c>
      <c r="K376" t="s">
        <v>304</v>
      </c>
      <c r="L376" t="s">
        <v>305</v>
      </c>
      <c r="M376">
        <v>-4392</v>
      </c>
      <c r="P376">
        <v>0</v>
      </c>
      <c r="R376" s="154"/>
      <c r="S376" s="73">
        <f t="shared" si="38"/>
        <v>-501.12720000000007</v>
      </c>
    </row>
    <row r="377" spans="1:19" ht="15">
      <c r="A377" s="161" t="s">
        <v>296</v>
      </c>
      <c r="B377" t="s">
        <v>372</v>
      </c>
      <c r="C377" t="s">
        <v>267</v>
      </c>
      <c r="D377" t="s">
        <v>327</v>
      </c>
      <c r="E377" t="s">
        <v>368</v>
      </c>
      <c r="F377" t="s">
        <v>301</v>
      </c>
      <c r="G377">
        <v>105099</v>
      </c>
      <c r="H377" t="s">
        <v>306</v>
      </c>
      <c r="I377">
        <v>201</v>
      </c>
      <c r="J377" t="s">
        <v>332</v>
      </c>
      <c r="K377" t="s">
        <v>304</v>
      </c>
      <c r="L377" t="s">
        <v>305</v>
      </c>
      <c r="M377">
        <v>4392</v>
      </c>
      <c r="P377">
        <v>0</v>
      </c>
      <c r="R377" s="154"/>
      <c r="S377" s="73">
        <f t="shared" si="38"/>
        <v>501.12720000000007</v>
      </c>
    </row>
    <row r="378" spans="1:19" ht="15">
      <c r="A378" s="161" t="s">
        <v>296</v>
      </c>
      <c r="B378" t="s">
        <v>372</v>
      </c>
      <c r="C378" t="s">
        <v>267</v>
      </c>
      <c r="D378" t="s">
        <v>327</v>
      </c>
      <c r="E378" t="s">
        <v>368</v>
      </c>
      <c r="F378" t="s">
        <v>301</v>
      </c>
      <c r="G378" s="213">
        <v>109001</v>
      </c>
      <c r="H378" t="s">
        <v>324</v>
      </c>
      <c r="I378">
        <v>201</v>
      </c>
      <c r="J378" t="s">
        <v>304</v>
      </c>
      <c r="K378" t="s">
        <v>304</v>
      </c>
      <c r="L378" t="s">
        <v>305</v>
      </c>
      <c r="M378">
        <v>821306.53</v>
      </c>
      <c r="P378">
        <v>769000</v>
      </c>
      <c r="Q378" s="124">
        <f t="shared" ref="Q378:Q382" si="39">M378-P378</f>
        <v>52306.530000000028</v>
      </c>
      <c r="R378" s="124">
        <f t="shared" ref="R378:R379" si="40">M378*-1.141</f>
        <v>-937110.75073000009</v>
      </c>
    </row>
    <row r="379" spans="1:19" ht="15">
      <c r="A379" s="161" t="s">
        <v>296</v>
      </c>
      <c r="B379" t="s">
        <v>372</v>
      </c>
      <c r="C379" t="s">
        <v>267</v>
      </c>
      <c r="D379" t="s">
        <v>327</v>
      </c>
      <c r="E379" t="s">
        <v>368</v>
      </c>
      <c r="F379" t="s">
        <v>301</v>
      </c>
      <c r="G379" s="213">
        <v>109001</v>
      </c>
      <c r="H379" t="s">
        <v>324</v>
      </c>
      <c r="I379">
        <v>201</v>
      </c>
      <c r="J379" t="s">
        <v>357</v>
      </c>
      <c r="K379" t="s">
        <v>304</v>
      </c>
      <c r="L379" t="s">
        <v>305</v>
      </c>
      <c r="M379">
        <v>1929.8</v>
      </c>
      <c r="P379">
        <v>0</v>
      </c>
      <c r="Q379" s="124">
        <f t="shared" si="39"/>
        <v>1929.8</v>
      </c>
      <c r="R379" s="124">
        <f t="shared" si="40"/>
        <v>-2201.9018000000001</v>
      </c>
    </row>
    <row r="380" spans="1:19" ht="15">
      <c r="A380" s="161" t="s">
        <v>296</v>
      </c>
      <c r="B380" t="s">
        <v>372</v>
      </c>
      <c r="C380" t="s">
        <v>267</v>
      </c>
      <c r="D380" t="s">
        <v>327</v>
      </c>
      <c r="E380" t="s">
        <v>368</v>
      </c>
      <c r="F380" t="s">
        <v>301</v>
      </c>
      <c r="G380" s="213">
        <v>109901</v>
      </c>
      <c r="H380" t="s">
        <v>309</v>
      </c>
      <c r="I380">
        <v>201</v>
      </c>
      <c r="J380" t="s">
        <v>304</v>
      </c>
      <c r="K380" t="s">
        <v>304</v>
      </c>
      <c r="L380" t="s">
        <v>305</v>
      </c>
      <c r="M380">
        <v>1276837.93</v>
      </c>
      <c r="P380">
        <v>1259000</v>
      </c>
      <c r="Q380" s="124">
        <f t="shared" si="39"/>
        <v>17837.929999999935</v>
      </c>
      <c r="R380" s="154"/>
    </row>
    <row r="381" spans="1:19" ht="15">
      <c r="A381" s="161" t="s">
        <v>296</v>
      </c>
      <c r="B381" t="s">
        <v>372</v>
      </c>
      <c r="C381" t="s">
        <v>267</v>
      </c>
      <c r="D381" t="s">
        <v>327</v>
      </c>
      <c r="E381" t="s">
        <v>368</v>
      </c>
      <c r="F381" t="s">
        <v>301</v>
      </c>
      <c r="G381" s="213">
        <v>109901</v>
      </c>
      <c r="H381" t="s">
        <v>309</v>
      </c>
      <c r="I381">
        <v>201</v>
      </c>
      <c r="J381" t="s">
        <v>332</v>
      </c>
      <c r="K381" t="s">
        <v>304</v>
      </c>
      <c r="L381" t="s">
        <v>305</v>
      </c>
      <c r="M381">
        <v>619.32000000000005</v>
      </c>
      <c r="P381">
        <v>0</v>
      </c>
      <c r="Q381" s="124">
        <f t="shared" si="39"/>
        <v>619.32000000000005</v>
      </c>
      <c r="R381" s="154"/>
    </row>
    <row r="382" spans="1:19" ht="15">
      <c r="A382" s="161" t="s">
        <v>296</v>
      </c>
      <c r="B382" t="s">
        <v>372</v>
      </c>
      <c r="C382" t="s">
        <v>267</v>
      </c>
      <c r="D382" t="s">
        <v>327</v>
      </c>
      <c r="E382" t="s">
        <v>368</v>
      </c>
      <c r="F382" t="s">
        <v>301</v>
      </c>
      <c r="G382" s="213">
        <v>109901</v>
      </c>
      <c r="H382" t="s">
        <v>309</v>
      </c>
      <c r="I382">
        <v>201</v>
      </c>
      <c r="J382" t="s">
        <v>357</v>
      </c>
      <c r="K382" t="s">
        <v>304</v>
      </c>
      <c r="L382" t="s">
        <v>305</v>
      </c>
      <c r="M382">
        <v>3143.67</v>
      </c>
      <c r="P382">
        <v>0</v>
      </c>
      <c r="Q382" s="124">
        <f t="shared" si="39"/>
        <v>3143.67</v>
      </c>
      <c r="R382" s="154"/>
    </row>
    <row r="383" spans="1:19" ht="15">
      <c r="A383" s="161" t="s">
        <v>296</v>
      </c>
      <c r="B383" t="s">
        <v>373</v>
      </c>
      <c r="C383" t="s">
        <v>268</v>
      </c>
      <c r="D383" t="s">
        <v>327</v>
      </c>
      <c r="E383" t="s">
        <v>368</v>
      </c>
      <c r="F383" t="s">
        <v>301</v>
      </c>
      <c r="G383">
        <v>101001</v>
      </c>
      <c r="H383" t="s">
        <v>329</v>
      </c>
      <c r="I383">
        <v>201</v>
      </c>
      <c r="J383" t="s">
        <v>304</v>
      </c>
      <c r="K383" t="s">
        <v>304</v>
      </c>
      <c r="L383" t="s">
        <v>305</v>
      </c>
      <c r="M383">
        <v>6492230.6500000004</v>
      </c>
      <c r="P383">
        <v>6529000</v>
      </c>
      <c r="R383" s="154"/>
      <c r="S383" s="73">
        <f t="shared" ref="S383:S400" si="41">M383*$S$7*1.141</f>
        <v>740763.51716500008</v>
      </c>
    </row>
    <row r="384" spans="1:19" ht="15">
      <c r="A384" s="161" t="s">
        <v>296</v>
      </c>
      <c r="B384" t="s">
        <v>373</v>
      </c>
      <c r="C384" t="s">
        <v>268</v>
      </c>
      <c r="D384" t="s">
        <v>327</v>
      </c>
      <c r="E384" t="s">
        <v>368</v>
      </c>
      <c r="F384" t="s">
        <v>301</v>
      </c>
      <c r="G384">
        <v>101002</v>
      </c>
      <c r="H384" t="s">
        <v>335</v>
      </c>
      <c r="I384">
        <v>201</v>
      </c>
      <c r="J384" t="s">
        <v>304</v>
      </c>
      <c r="K384" t="s">
        <v>304</v>
      </c>
      <c r="L384" t="s">
        <v>305</v>
      </c>
      <c r="M384">
        <v>69161.899999999994</v>
      </c>
      <c r="P384">
        <v>0</v>
      </c>
      <c r="R384" s="154"/>
      <c r="S384" s="73">
        <f t="shared" si="41"/>
        <v>7891.3727899999994</v>
      </c>
    </row>
    <row r="385" spans="1:19" ht="15">
      <c r="A385" s="161" t="s">
        <v>296</v>
      </c>
      <c r="B385" t="s">
        <v>373</v>
      </c>
      <c r="C385" t="s">
        <v>268</v>
      </c>
      <c r="D385" t="s">
        <v>327</v>
      </c>
      <c r="E385" t="s">
        <v>368</v>
      </c>
      <c r="F385" t="s">
        <v>301</v>
      </c>
      <c r="G385">
        <v>101002</v>
      </c>
      <c r="H385" t="s">
        <v>335</v>
      </c>
      <c r="I385">
        <v>201</v>
      </c>
      <c r="J385" t="s">
        <v>336</v>
      </c>
      <c r="K385" t="s">
        <v>304</v>
      </c>
      <c r="L385" t="s">
        <v>305</v>
      </c>
      <c r="M385">
        <v>14853.08</v>
      </c>
      <c r="P385">
        <v>0</v>
      </c>
      <c r="R385" s="154"/>
      <c r="S385" s="73">
        <f t="shared" si="41"/>
        <v>1694.7364279999999</v>
      </c>
    </row>
    <row r="386" spans="1:19" ht="15">
      <c r="A386" s="161" t="s">
        <v>296</v>
      </c>
      <c r="B386" t="s">
        <v>373</v>
      </c>
      <c r="C386" t="s">
        <v>268</v>
      </c>
      <c r="D386" t="s">
        <v>327</v>
      </c>
      <c r="E386" t="s">
        <v>368</v>
      </c>
      <c r="F386" t="s">
        <v>301</v>
      </c>
      <c r="G386">
        <v>101039</v>
      </c>
      <c r="H386" t="s">
        <v>312</v>
      </c>
      <c r="I386">
        <v>201</v>
      </c>
      <c r="J386" t="s">
        <v>304</v>
      </c>
      <c r="K386" t="s">
        <v>304</v>
      </c>
      <c r="L386" t="s">
        <v>305</v>
      </c>
      <c r="M386">
        <v>109275.32</v>
      </c>
      <c r="P386">
        <v>0</v>
      </c>
      <c r="R386" s="154"/>
      <c r="S386" s="73">
        <f t="shared" si="41"/>
        <v>12468.314012000001</v>
      </c>
    </row>
    <row r="387" spans="1:19" ht="15">
      <c r="A387" s="161" t="s">
        <v>296</v>
      </c>
      <c r="B387" t="s">
        <v>373</v>
      </c>
      <c r="C387" t="s">
        <v>268</v>
      </c>
      <c r="D387" t="s">
        <v>327</v>
      </c>
      <c r="E387" t="s">
        <v>368</v>
      </c>
      <c r="F387" t="s">
        <v>301</v>
      </c>
      <c r="G387">
        <v>102002</v>
      </c>
      <c r="H387" t="s">
        <v>338</v>
      </c>
      <c r="I387">
        <v>201</v>
      </c>
      <c r="J387" t="s">
        <v>304</v>
      </c>
      <c r="K387" t="s">
        <v>304</v>
      </c>
      <c r="L387" t="s">
        <v>305</v>
      </c>
      <c r="M387">
        <v>42421.59</v>
      </c>
      <c r="P387">
        <v>0</v>
      </c>
      <c r="R387" s="154"/>
      <c r="S387" s="73">
        <f t="shared" si="41"/>
        <v>4840.3034189999998</v>
      </c>
    </row>
    <row r="388" spans="1:19" ht="15">
      <c r="A388" s="161" t="s">
        <v>296</v>
      </c>
      <c r="B388" t="s">
        <v>373</v>
      </c>
      <c r="C388" t="s">
        <v>268</v>
      </c>
      <c r="D388" t="s">
        <v>327</v>
      </c>
      <c r="E388" t="s">
        <v>368</v>
      </c>
      <c r="F388" t="s">
        <v>301</v>
      </c>
      <c r="G388">
        <v>102003</v>
      </c>
      <c r="H388" t="s">
        <v>339</v>
      </c>
      <c r="I388">
        <v>201</v>
      </c>
      <c r="J388" t="s">
        <v>304</v>
      </c>
      <c r="K388" t="s">
        <v>304</v>
      </c>
      <c r="L388" t="s">
        <v>305</v>
      </c>
      <c r="M388">
        <v>235769.55</v>
      </c>
      <c r="P388">
        <v>193000</v>
      </c>
      <c r="R388" s="154"/>
      <c r="S388" s="73">
        <f t="shared" si="41"/>
        <v>26901.305655000004</v>
      </c>
    </row>
    <row r="389" spans="1:19" ht="15">
      <c r="A389" s="161" t="s">
        <v>296</v>
      </c>
      <c r="B389" t="s">
        <v>373</v>
      </c>
      <c r="C389" t="s">
        <v>268</v>
      </c>
      <c r="D389" t="s">
        <v>327</v>
      </c>
      <c r="E389" t="s">
        <v>368</v>
      </c>
      <c r="F389" t="s">
        <v>301</v>
      </c>
      <c r="G389">
        <v>102005</v>
      </c>
      <c r="H389" t="s">
        <v>340</v>
      </c>
      <c r="I389">
        <v>201</v>
      </c>
      <c r="J389" t="s">
        <v>304</v>
      </c>
      <c r="K389" t="s">
        <v>304</v>
      </c>
      <c r="L389" t="s">
        <v>305</v>
      </c>
      <c r="M389">
        <v>133331.41</v>
      </c>
      <c r="P389">
        <v>20000</v>
      </c>
      <c r="R389" s="154"/>
      <c r="S389" s="73">
        <f t="shared" si="41"/>
        <v>15213.113881000001</v>
      </c>
    </row>
    <row r="390" spans="1:19" ht="15">
      <c r="A390" s="161" t="s">
        <v>296</v>
      </c>
      <c r="B390" t="s">
        <v>373</v>
      </c>
      <c r="C390" t="s">
        <v>268</v>
      </c>
      <c r="D390" t="s">
        <v>327</v>
      </c>
      <c r="E390" t="s">
        <v>368</v>
      </c>
      <c r="F390" t="s">
        <v>301</v>
      </c>
      <c r="G390">
        <v>102062</v>
      </c>
      <c r="H390" t="s">
        <v>341</v>
      </c>
      <c r="I390">
        <v>201</v>
      </c>
      <c r="J390" t="s">
        <v>304</v>
      </c>
      <c r="K390" t="s">
        <v>304</v>
      </c>
      <c r="L390" t="s">
        <v>305</v>
      </c>
      <c r="M390">
        <v>2729.99</v>
      </c>
      <c r="P390">
        <v>0</v>
      </c>
      <c r="R390" s="154"/>
      <c r="S390" s="73">
        <f t="shared" si="41"/>
        <v>311.49185899999998</v>
      </c>
    </row>
    <row r="391" spans="1:19" ht="15">
      <c r="A391" s="161" t="s">
        <v>296</v>
      </c>
      <c r="B391" t="s">
        <v>373</v>
      </c>
      <c r="C391" t="s">
        <v>268</v>
      </c>
      <c r="D391" t="s">
        <v>327</v>
      </c>
      <c r="E391" t="s">
        <v>368</v>
      </c>
      <c r="F391" t="s">
        <v>301</v>
      </c>
      <c r="G391">
        <v>103001</v>
      </c>
      <c r="H391" t="s">
        <v>342</v>
      </c>
      <c r="I391">
        <v>201</v>
      </c>
      <c r="J391" t="s">
        <v>304</v>
      </c>
      <c r="K391" t="s">
        <v>304</v>
      </c>
      <c r="L391" t="s">
        <v>305</v>
      </c>
      <c r="M391">
        <v>7932.85</v>
      </c>
      <c r="P391">
        <v>0</v>
      </c>
      <c r="R391" s="154"/>
      <c r="S391" s="73">
        <f t="shared" si="41"/>
        <v>905.13818500000014</v>
      </c>
    </row>
    <row r="392" spans="1:19" ht="15">
      <c r="A392" s="161" t="s">
        <v>296</v>
      </c>
      <c r="B392" t="s">
        <v>373</v>
      </c>
      <c r="C392" t="s">
        <v>268</v>
      </c>
      <c r="D392" t="s">
        <v>327</v>
      </c>
      <c r="E392" t="s">
        <v>368</v>
      </c>
      <c r="F392" t="s">
        <v>301</v>
      </c>
      <c r="G392">
        <v>103001</v>
      </c>
      <c r="H392" t="s">
        <v>342</v>
      </c>
      <c r="I392">
        <v>201</v>
      </c>
      <c r="J392" t="s">
        <v>336</v>
      </c>
      <c r="K392" t="s">
        <v>304</v>
      </c>
      <c r="L392" t="s">
        <v>305</v>
      </c>
      <c r="M392">
        <v>21215.040000000001</v>
      </c>
      <c r="P392">
        <v>0</v>
      </c>
      <c r="R392" s="154"/>
      <c r="S392" s="73">
        <f t="shared" si="41"/>
        <v>2420.6360640000003</v>
      </c>
    </row>
    <row r="393" spans="1:19" ht="15">
      <c r="A393" s="161" t="s">
        <v>296</v>
      </c>
      <c r="B393" t="s">
        <v>373</v>
      </c>
      <c r="C393" t="s">
        <v>268</v>
      </c>
      <c r="D393" t="s">
        <v>327</v>
      </c>
      <c r="E393" t="s">
        <v>368</v>
      </c>
      <c r="F393" t="s">
        <v>301</v>
      </c>
      <c r="G393">
        <v>103062</v>
      </c>
      <c r="H393" t="s">
        <v>343</v>
      </c>
      <c r="I393">
        <v>201</v>
      </c>
      <c r="J393" t="s">
        <v>304</v>
      </c>
      <c r="K393" t="s">
        <v>304</v>
      </c>
      <c r="L393" t="s">
        <v>305</v>
      </c>
      <c r="M393">
        <v>752.64</v>
      </c>
      <c r="P393">
        <v>0</v>
      </c>
      <c r="R393" s="154"/>
      <c r="S393" s="73">
        <f t="shared" si="41"/>
        <v>85.876223999999993</v>
      </c>
    </row>
    <row r="394" spans="1:19" ht="15">
      <c r="A394" s="161" t="s">
        <v>296</v>
      </c>
      <c r="B394" t="s">
        <v>373</v>
      </c>
      <c r="C394" t="s">
        <v>268</v>
      </c>
      <c r="D394" t="s">
        <v>327</v>
      </c>
      <c r="E394" t="s">
        <v>368</v>
      </c>
      <c r="F394" t="s">
        <v>301</v>
      </c>
      <c r="G394">
        <v>103069</v>
      </c>
      <c r="H394" t="s">
        <v>344</v>
      </c>
      <c r="I394">
        <v>201</v>
      </c>
      <c r="J394" t="s">
        <v>304</v>
      </c>
      <c r="K394" t="s">
        <v>304</v>
      </c>
      <c r="L394" t="s">
        <v>305</v>
      </c>
      <c r="M394">
        <v>6517.36</v>
      </c>
      <c r="P394">
        <v>0</v>
      </c>
      <c r="R394" s="154"/>
      <c r="S394" s="73">
        <f t="shared" si="41"/>
        <v>743.63077599999997</v>
      </c>
    </row>
    <row r="395" spans="1:19" ht="15">
      <c r="A395" s="161" t="s">
        <v>296</v>
      </c>
      <c r="B395" t="s">
        <v>373</v>
      </c>
      <c r="C395" t="s">
        <v>268</v>
      </c>
      <c r="D395" t="s">
        <v>327</v>
      </c>
      <c r="E395" t="s">
        <v>368</v>
      </c>
      <c r="F395" t="s">
        <v>301</v>
      </c>
      <c r="G395">
        <v>104000</v>
      </c>
      <c r="H395" t="s">
        <v>345</v>
      </c>
      <c r="I395">
        <v>201</v>
      </c>
      <c r="J395" t="s">
        <v>304</v>
      </c>
      <c r="K395" t="s">
        <v>304</v>
      </c>
      <c r="L395" t="s">
        <v>305</v>
      </c>
      <c r="M395">
        <v>68114.559999999998</v>
      </c>
      <c r="P395">
        <v>53000</v>
      </c>
      <c r="R395" s="154"/>
      <c r="S395" s="73">
        <f t="shared" si="41"/>
        <v>7771.8712960000003</v>
      </c>
    </row>
    <row r="396" spans="1:19" ht="15">
      <c r="A396" s="161" t="s">
        <v>296</v>
      </c>
      <c r="B396" t="s">
        <v>373</v>
      </c>
      <c r="C396" t="s">
        <v>268</v>
      </c>
      <c r="D396" t="s">
        <v>327</v>
      </c>
      <c r="E396" t="s">
        <v>368</v>
      </c>
      <c r="F396" t="s">
        <v>301</v>
      </c>
      <c r="G396">
        <v>105003</v>
      </c>
      <c r="H396" t="s">
        <v>346</v>
      </c>
      <c r="I396">
        <v>201</v>
      </c>
      <c r="J396" t="s">
        <v>304</v>
      </c>
      <c r="K396" t="s">
        <v>304</v>
      </c>
      <c r="L396" t="s">
        <v>305</v>
      </c>
      <c r="M396">
        <v>562324.6</v>
      </c>
      <c r="P396">
        <v>0</v>
      </c>
      <c r="R396" s="154"/>
      <c r="S396" s="73">
        <f t="shared" si="41"/>
        <v>64161.236859999997</v>
      </c>
    </row>
    <row r="397" spans="1:19" ht="15">
      <c r="A397" s="161" t="s">
        <v>296</v>
      </c>
      <c r="B397" t="s">
        <v>373</v>
      </c>
      <c r="C397" t="s">
        <v>268</v>
      </c>
      <c r="D397" t="s">
        <v>327</v>
      </c>
      <c r="E397" t="s">
        <v>368</v>
      </c>
      <c r="F397" t="s">
        <v>301</v>
      </c>
      <c r="G397">
        <v>105010</v>
      </c>
      <c r="H397" t="s">
        <v>347</v>
      </c>
      <c r="I397">
        <v>201</v>
      </c>
      <c r="J397" t="s">
        <v>304</v>
      </c>
      <c r="K397" t="s">
        <v>304</v>
      </c>
      <c r="L397" t="s">
        <v>305</v>
      </c>
      <c r="M397">
        <v>1468.66</v>
      </c>
      <c r="P397">
        <v>0</v>
      </c>
      <c r="R397" s="154"/>
      <c r="S397" s="73">
        <f t="shared" si="41"/>
        <v>167.57410600000003</v>
      </c>
    </row>
    <row r="398" spans="1:19" ht="15">
      <c r="A398" s="161" t="s">
        <v>296</v>
      </c>
      <c r="B398" t="s">
        <v>373</v>
      </c>
      <c r="C398" t="s">
        <v>268</v>
      </c>
      <c r="D398" t="s">
        <v>327</v>
      </c>
      <c r="E398" t="s">
        <v>368</v>
      </c>
      <c r="F398" t="s">
        <v>301</v>
      </c>
      <c r="G398">
        <v>105019</v>
      </c>
      <c r="H398" t="s">
        <v>348</v>
      </c>
      <c r="I398">
        <v>201</v>
      </c>
      <c r="J398" t="s">
        <v>304</v>
      </c>
      <c r="K398" t="s">
        <v>304</v>
      </c>
      <c r="L398" t="s">
        <v>305</v>
      </c>
      <c r="M398">
        <v>919.75</v>
      </c>
      <c r="P398">
        <v>0</v>
      </c>
      <c r="R398" s="154"/>
      <c r="S398" s="73">
        <f t="shared" si="41"/>
        <v>104.94347500000001</v>
      </c>
    </row>
    <row r="399" spans="1:19" ht="15">
      <c r="A399" s="161" t="s">
        <v>296</v>
      </c>
      <c r="B399" t="s">
        <v>373</v>
      </c>
      <c r="C399" t="s">
        <v>268</v>
      </c>
      <c r="D399" t="s">
        <v>327</v>
      </c>
      <c r="E399" t="s">
        <v>368</v>
      </c>
      <c r="F399" t="s">
        <v>301</v>
      </c>
      <c r="G399">
        <v>105098</v>
      </c>
      <c r="H399" t="s">
        <v>302</v>
      </c>
      <c r="I399">
        <v>201</v>
      </c>
      <c r="J399" t="s">
        <v>331</v>
      </c>
      <c r="K399" t="s">
        <v>304</v>
      </c>
      <c r="L399" t="s">
        <v>305</v>
      </c>
      <c r="M399">
        <v>-4392</v>
      </c>
      <c r="P399">
        <v>0</v>
      </c>
      <c r="R399" s="154"/>
      <c r="S399" s="73">
        <f t="shared" si="41"/>
        <v>-501.12720000000007</v>
      </c>
    </row>
    <row r="400" spans="1:19" ht="15">
      <c r="A400" s="161" t="s">
        <v>296</v>
      </c>
      <c r="B400" t="s">
        <v>373</v>
      </c>
      <c r="C400" t="s">
        <v>268</v>
      </c>
      <c r="D400" t="s">
        <v>327</v>
      </c>
      <c r="E400" t="s">
        <v>368</v>
      </c>
      <c r="F400" t="s">
        <v>301</v>
      </c>
      <c r="G400">
        <v>105099</v>
      </c>
      <c r="H400" t="s">
        <v>306</v>
      </c>
      <c r="I400">
        <v>201</v>
      </c>
      <c r="J400" t="s">
        <v>332</v>
      </c>
      <c r="K400" t="s">
        <v>304</v>
      </c>
      <c r="L400" t="s">
        <v>305</v>
      </c>
      <c r="M400">
        <v>4392</v>
      </c>
      <c r="P400">
        <v>0</v>
      </c>
      <c r="R400" s="154"/>
      <c r="S400" s="73">
        <f t="shared" si="41"/>
        <v>501.12720000000007</v>
      </c>
    </row>
    <row r="401" spans="1:19" ht="15">
      <c r="A401" s="161" t="s">
        <v>296</v>
      </c>
      <c r="B401" t="s">
        <v>373</v>
      </c>
      <c r="C401" t="s">
        <v>268</v>
      </c>
      <c r="D401" t="s">
        <v>327</v>
      </c>
      <c r="E401" t="s">
        <v>368</v>
      </c>
      <c r="F401" t="s">
        <v>301</v>
      </c>
      <c r="G401" s="213">
        <v>109001</v>
      </c>
      <c r="H401" t="s">
        <v>324</v>
      </c>
      <c r="I401">
        <v>201</v>
      </c>
      <c r="J401" t="s">
        <v>304</v>
      </c>
      <c r="K401" t="s">
        <v>304</v>
      </c>
      <c r="L401" t="s">
        <v>305</v>
      </c>
      <c r="M401">
        <v>713692.36</v>
      </c>
      <c r="P401">
        <v>639000</v>
      </c>
      <c r="Q401" s="124">
        <f t="shared" ref="Q401:Q405" si="42">M401-P401</f>
        <v>74692.359999999986</v>
      </c>
      <c r="R401" s="124">
        <f t="shared" ref="R401:R402" si="43">M401*-1.141</f>
        <v>-814322.98276000004</v>
      </c>
    </row>
    <row r="402" spans="1:19" ht="15">
      <c r="A402" s="161" t="s">
        <v>296</v>
      </c>
      <c r="B402" t="s">
        <v>373</v>
      </c>
      <c r="C402" t="s">
        <v>268</v>
      </c>
      <c r="D402" t="s">
        <v>327</v>
      </c>
      <c r="E402" t="s">
        <v>368</v>
      </c>
      <c r="F402" t="s">
        <v>301</v>
      </c>
      <c r="G402" s="213">
        <v>109001</v>
      </c>
      <c r="H402" t="s">
        <v>324</v>
      </c>
      <c r="I402">
        <v>201</v>
      </c>
      <c r="J402" t="s">
        <v>336</v>
      </c>
      <c r="K402" t="s">
        <v>304</v>
      </c>
      <c r="L402" t="s">
        <v>305</v>
      </c>
      <c r="M402">
        <v>3417.7</v>
      </c>
      <c r="P402">
        <v>0</v>
      </c>
      <c r="Q402" s="124">
        <f t="shared" si="42"/>
        <v>3417.7</v>
      </c>
      <c r="R402" s="124">
        <f t="shared" si="43"/>
        <v>-3899.5956999999999</v>
      </c>
    </row>
    <row r="403" spans="1:19" ht="15">
      <c r="A403" s="161" t="s">
        <v>296</v>
      </c>
      <c r="B403" t="s">
        <v>373</v>
      </c>
      <c r="C403" t="s">
        <v>268</v>
      </c>
      <c r="D403" t="s">
        <v>327</v>
      </c>
      <c r="E403" t="s">
        <v>368</v>
      </c>
      <c r="F403" t="s">
        <v>301</v>
      </c>
      <c r="G403" s="213">
        <v>109901</v>
      </c>
      <c r="H403" t="s">
        <v>309</v>
      </c>
      <c r="I403">
        <v>201</v>
      </c>
      <c r="J403" t="s">
        <v>304</v>
      </c>
      <c r="K403" t="s">
        <v>304</v>
      </c>
      <c r="L403" t="s">
        <v>305</v>
      </c>
      <c r="M403">
        <v>1090115.1499999999</v>
      </c>
      <c r="P403">
        <v>1048000</v>
      </c>
      <c r="Q403" s="124">
        <f t="shared" si="42"/>
        <v>42115.149999999907</v>
      </c>
      <c r="R403" s="154"/>
    </row>
    <row r="404" spans="1:19" ht="15">
      <c r="A404" s="161" t="s">
        <v>296</v>
      </c>
      <c r="B404" t="s">
        <v>373</v>
      </c>
      <c r="C404" t="s">
        <v>268</v>
      </c>
      <c r="D404" t="s">
        <v>327</v>
      </c>
      <c r="E404" t="s">
        <v>368</v>
      </c>
      <c r="F404" t="s">
        <v>301</v>
      </c>
      <c r="G404" s="213">
        <v>109901</v>
      </c>
      <c r="H404" t="s">
        <v>309</v>
      </c>
      <c r="I404">
        <v>201</v>
      </c>
      <c r="J404" t="s">
        <v>332</v>
      </c>
      <c r="K404" t="s">
        <v>304</v>
      </c>
      <c r="L404" t="s">
        <v>305</v>
      </c>
      <c r="M404">
        <v>619.32000000000005</v>
      </c>
      <c r="P404">
        <v>0</v>
      </c>
      <c r="Q404" s="124">
        <f t="shared" si="42"/>
        <v>619.32000000000005</v>
      </c>
      <c r="R404" s="154"/>
    </row>
    <row r="405" spans="1:19" ht="15">
      <c r="A405" s="161" t="s">
        <v>296</v>
      </c>
      <c r="B405" t="s">
        <v>373</v>
      </c>
      <c r="C405" t="s">
        <v>268</v>
      </c>
      <c r="D405" t="s">
        <v>327</v>
      </c>
      <c r="E405" t="s">
        <v>368</v>
      </c>
      <c r="F405" t="s">
        <v>301</v>
      </c>
      <c r="G405" s="213">
        <v>109901</v>
      </c>
      <c r="H405" t="s">
        <v>309</v>
      </c>
      <c r="I405">
        <v>201</v>
      </c>
      <c r="J405" t="s">
        <v>336</v>
      </c>
      <c r="K405" t="s">
        <v>304</v>
      </c>
      <c r="L405" t="s">
        <v>305</v>
      </c>
      <c r="M405">
        <v>5567.52</v>
      </c>
      <c r="P405">
        <v>0</v>
      </c>
      <c r="Q405" s="124">
        <f t="shared" si="42"/>
        <v>5567.52</v>
      </c>
      <c r="R405" s="154"/>
    </row>
    <row r="406" spans="1:19" ht="15">
      <c r="A406" s="161" t="s">
        <v>296</v>
      </c>
      <c r="B406" t="s">
        <v>374</v>
      </c>
      <c r="C406" t="s">
        <v>269</v>
      </c>
      <c r="D406" t="s">
        <v>327</v>
      </c>
      <c r="E406" t="s">
        <v>368</v>
      </c>
      <c r="F406" t="s">
        <v>301</v>
      </c>
      <c r="G406">
        <v>101001</v>
      </c>
      <c r="H406" t="s">
        <v>329</v>
      </c>
      <c r="I406">
        <v>201</v>
      </c>
      <c r="J406" t="s">
        <v>304</v>
      </c>
      <c r="K406" t="s">
        <v>304</v>
      </c>
      <c r="L406" t="s">
        <v>305</v>
      </c>
      <c r="M406">
        <v>5236159.07</v>
      </c>
      <c r="P406">
        <v>5477000</v>
      </c>
      <c r="R406" s="154"/>
      <c r="S406" s="73">
        <f t="shared" ref="S406:S419" si="44">M406*$S$7*1.141</f>
        <v>597445.74988700007</v>
      </c>
    </row>
    <row r="407" spans="1:19" ht="15">
      <c r="A407" s="161" t="s">
        <v>296</v>
      </c>
      <c r="B407" t="s">
        <v>374</v>
      </c>
      <c r="C407" t="s">
        <v>269</v>
      </c>
      <c r="D407" t="s">
        <v>327</v>
      </c>
      <c r="E407" t="s">
        <v>368</v>
      </c>
      <c r="F407" t="s">
        <v>301</v>
      </c>
      <c r="G407">
        <v>101002</v>
      </c>
      <c r="H407" t="s">
        <v>335</v>
      </c>
      <c r="I407">
        <v>201</v>
      </c>
      <c r="J407" t="s">
        <v>304</v>
      </c>
      <c r="K407" t="s">
        <v>304</v>
      </c>
      <c r="L407" t="s">
        <v>305</v>
      </c>
      <c r="M407">
        <v>62538.55</v>
      </c>
      <c r="P407">
        <v>0</v>
      </c>
      <c r="R407" s="154"/>
      <c r="S407" s="73">
        <f t="shared" si="44"/>
        <v>7135.6485550000007</v>
      </c>
    </row>
    <row r="408" spans="1:19" ht="15">
      <c r="A408" s="161" t="s">
        <v>296</v>
      </c>
      <c r="B408" t="s">
        <v>374</v>
      </c>
      <c r="C408" t="s">
        <v>269</v>
      </c>
      <c r="D408" t="s">
        <v>327</v>
      </c>
      <c r="E408" t="s">
        <v>368</v>
      </c>
      <c r="F408" t="s">
        <v>301</v>
      </c>
      <c r="G408">
        <v>101039</v>
      </c>
      <c r="H408" t="s">
        <v>312</v>
      </c>
      <c r="I408">
        <v>201</v>
      </c>
      <c r="J408" t="s">
        <v>304</v>
      </c>
      <c r="K408" t="s">
        <v>304</v>
      </c>
      <c r="L408" t="s">
        <v>305</v>
      </c>
      <c r="M408">
        <v>97300.4</v>
      </c>
      <c r="P408">
        <v>0</v>
      </c>
      <c r="R408" s="154"/>
      <c r="S408" s="73">
        <f t="shared" si="44"/>
        <v>11101.975639999999</v>
      </c>
    </row>
    <row r="409" spans="1:19" ht="15">
      <c r="A409" s="161" t="s">
        <v>296</v>
      </c>
      <c r="B409" t="s">
        <v>374</v>
      </c>
      <c r="C409" t="s">
        <v>269</v>
      </c>
      <c r="D409" t="s">
        <v>327</v>
      </c>
      <c r="E409" t="s">
        <v>368</v>
      </c>
      <c r="F409" t="s">
        <v>301</v>
      </c>
      <c r="G409">
        <v>102002</v>
      </c>
      <c r="H409" t="s">
        <v>338</v>
      </c>
      <c r="I409">
        <v>201</v>
      </c>
      <c r="J409" t="s">
        <v>304</v>
      </c>
      <c r="K409" t="s">
        <v>304</v>
      </c>
      <c r="L409" t="s">
        <v>305</v>
      </c>
      <c r="M409">
        <v>8237.39</v>
      </c>
      <c r="P409">
        <v>0</v>
      </c>
      <c r="R409" s="154"/>
      <c r="S409" s="73">
        <f t="shared" si="44"/>
        <v>939.88619900000003</v>
      </c>
    </row>
    <row r="410" spans="1:19" ht="15">
      <c r="A410" s="161" t="s">
        <v>296</v>
      </c>
      <c r="B410" t="s">
        <v>374</v>
      </c>
      <c r="C410" t="s">
        <v>269</v>
      </c>
      <c r="D410" t="s">
        <v>327</v>
      </c>
      <c r="E410" t="s">
        <v>368</v>
      </c>
      <c r="F410" t="s">
        <v>301</v>
      </c>
      <c r="G410">
        <v>102003</v>
      </c>
      <c r="H410" t="s">
        <v>339</v>
      </c>
      <c r="I410">
        <v>201</v>
      </c>
      <c r="J410" t="s">
        <v>304</v>
      </c>
      <c r="K410" t="s">
        <v>304</v>
      </c>
      <c r="L410" t="s">
        <v>305</v>
      </c>
      <c r="M410">
        <v>199192.2</v>
      </c>
      <c r="P410">
        <v>192000</v>
      </c>
      <c r="R410" s="154"/>
      <c r="S410" s="73">
        <f t="shared" si="44"/>
        <v>22727.830020000001</v>
      </c>
    </row>
    <row r="411" spans="1:19" ht="15">
      <c r="A411" s="161" t="s">
        <v>296</v>
      </c>
      <c r="B411" t="s">
        <v>374</v>
      </c>
      <c r="C411" t="s">
        <v>269</v>
      </c>
      <c r="D411" t="s">
        <v>327</v>
      </c>
      <c r="E411" t="s">
        <v>368</v>
      </c>
      <c r="F411" t="s">
        <v>301</v>
      </c>
      <c r="G411">
        <v>102005</v>
      </c>
      <c r="H411" t="s">
        <v>340</v>
      </c>
      <c r="I411">
        <v>201</v>
      </c>
      <c r="J411" t="s">
        <v>304</v>
      </c>
      <c r="K411" t="s">
        <v>304</v>
      </c>
      <c r="L411" t="s">
        <v>305</v>
      </c>
      <c r="M411">
        <v>37142.67</v>
      </c>
      <c r="P411">
        <v>0</v>
      </c>
      <c r="R411" s="154"/>
      <c r="S411" s="73">
        <f t="shared" si="44"/>
        <v>4237.9786469999999</v>
      </c>
    </row>
    <row r="412" spans="1:19" ht="15">
      <c r="A412" s="161" t="s">
        <v>296</v>
      </c>
      <c r="B412" t="s">
        <v>374</v>
      </c>
      <c r="C412" t="s">
        <v>269</v>
      </c>
      <c r="D412" t="s">
        <v>327</v>
      </c>
      <c r="E412" t="s">
        <v>368</v>
      </c>
      <c r="F412" t="s">
        <v>301</v>
      </c>
      <c r="G412">
        <v>102062</v>
      </c>
      <c r="H412" t="s">
        <v>341</v>
      </c>
      <c r="I412">
        <v>201</v>
      </c>
      <c r="J412" t="s">
        <v>304</v>
      </c>
      <c r="K412" t="s">
        <v>304</v>
      </c>
      <c r="L412" t="s">
        <v>305</v>
      </c>
      <c r="M412">
        <v>3238.86</v>
      </c>
      <c r="P412">
        <v>0</v>
      </c>
      <c r="R412" s="154"/>
      <c r="S412" s="73">
        <f t="shared" si="44"/>
        <v>369.55392600000005</v>
      </c>
    </row>
    <row r="413" spans="1:19" ht="15">
      <c r="A413" s="161" t="s">
        <v>296</v>
      </c>
      <c r="B413" t="s">
        <v>374</v>
      </c>
      <c r="C413" t="s">
        <v>269</v>
      </c>
      <c r="D413" t="s">
        <v>327</v>
      </c>
      <c r="E413" t="s">
        <v>368</v>
      </c>
      <c r="F413" t="s">
        <v>301</v>
      </c>
      <c r="G413">
        <v>103001</v>
      </c>
      <c r="H413" t="s">
        <v>342</v>
      </c>
      <c r="I413">
        <v>201</v>
      </c>
      <c r="J413" t="s">
        <v>304</v>
      </c>
      <c r="K413" t="s">
        <v>304</v>
      </c>
      <c r="L413" t="s">
        <v>305</v>
      </c>
      <c r="M413">
        <v>2352.94</v>
      </c>
      <c r="P413">
        <v>0</v>
      </c>
      <c r="R413" s="154"/>
      <c r="S413" s="73">
        <f t="shared" si="44"/>
        <v>268.47045400000002</v>
      </c>
    </row>
    <row r="414" spans="1:19" ht="15">
      <c r="A414" s="161" t="s">
        <v>296</v>
      </c>
      <c r="B414" t="s">
        <v>374</v>
      </c>
      <c r="C414" t="s">
        <v>269</v>
      </c>
      <c r="D414" t="s">
        <v>327</v>
      </c>
      <c r="E414" t="s">
        <v>368</v>
      </c>
      <c r="F414" t="s">
        <v>301</v>
      </c>
      <c r="G414">
        <v>103069</v>
      </c>
      <c r="H414" t="s">
        <v>344</v>
      </c>
      <c r="I414">
        <v>201</v>
      </c>
      <c r="J414" t="s">
        <v>304</v>
      </c>
      <c r="K414" t="s">
        <v>304</v>
      </c>
      <c r="L414" t="s">
        <v>305</v>
      </c>
      <c r="M414">
        <v>4217.03</v>
      </c>
      <c r="P414">
        <v>0</v>
      </c>
      <c r="R414" s="154"/>
      <c r="S414" s="73">
        <f t="shared" si="44"/>
        <v>481.16312299999998</v>
      </c>
    </row>
    <row r="415" spans="1:19" ht="15">
      <c r="A415" s="161" t="s">
        <v>296</v>
      </c>
      <c r="B415" t="s">
        <v>374</v>
      </c>
      <c r="C415" t="s">
        <v>269</v>
      </c>
      <c r="D415" t="s">
        <v>327</v>
      </c>
      <c r="E415" t="s">
        <v>368</v>
      </c>
      <c r="F415" t="s">
        <v>301</v>
      </c>
      <c r="G415">
        <v>104000</v>
      </c>
      <c r="H415" t="s">
        <v>345</v>
      </c>
      <c r="I415">
        <v>201</v>
      </c>
      <c r="J415" t="s">
        <v>304</v>
      </c>
      <c r="K415" t="s">
        <v>304</v>
      </c>
      <c r="L415" t="s">
        <v>305</v>
      </c>
      <c r="M415">
        <v>41809.03</v>
      </c>
      <c r="P415">
        <v>43000</v>
      </c>
      <c r="R415" s="154"/>
      <c r="S415" s="73">
        <f t="shared" si="44"/>
        <v>4770.4103230000001</v>
      </c>
    </row>
    <row r="416" spans="1:19" ht="15">
      <c r="A416" s="161" t="s">
        <v>296</v>
      </c>
      <c r="B416" t="s">
        <v>374</v>
      </c>
      <c r="C416" t="s">
        <v>269</v>
      </c>
      <c r="D416" t="s">
        <v>327</v>
      </c>
      <c r="E416" t="s">
        <v>368</v>
      </c>
      <c r="F416" t="s">
        <v>301</v>
      </c>
      <c r="G416">
        <v>105010</v>
      </c>
      <c r="H416" t="s">
        <v>347</v>
      </c>
      <c r="I416">
        <v>201</v>
      </c>
      <c r="J416" t="s">
        <v>304</v>
      </c>
      <c r="K416" t="s">
        <v>304</v>
      </c>
      <c r="L416" t="s">
        <v>305</v>
      </c>
      <c r="M416">
        <v>1120.29</v>
      </c>
      <c r="P416">
        <v>0</v>
      </c>
      <c r="R416" s="154"/>
      <c r="S416" s="73">
        <f t="shared" si="44"/>
        <v>127.82508899999999</v>
      </c>
    </row>
    <row r="417" spans="1:19" ht="15">
      <c r="A417" s="161" t="s">
        <v>296</v>
      </c>
      <c r="B417" t="s">
        <v>374</v>
      </c>
      <c r="C417" t="s">
        <v>269</v>
      </c>
      <c r="D417" t="s">
        <v>327</v>
      </c>
      <c r="E417" t="s">
        <v>368</v>
      </c>
      <c r="F417" t="s">
        <v>301</v>
      </c>
      <c r="G417">
        <v>105019</v>
      </c>
      <c r="H417" t="s">
        <v>348</v>
      </c>
      <c r="I417">
        <v>201</v>
      </c>
      <c r="J417" t="s">
        <v>304</v>
      </c>
      <c r="K417" t="s">
        <v>304</v>
      </c>
      <c r="L417" t="s">
        <v>305</v>
      </c>
      <c r="M417">
        <v>279.77999999999997</v>
      </c>
      <c r="P417">
        <v>0</v>
      </c>
      <c r="R417" s="154"/>
      <c r="S417" s="73">
        <f t="shared" si="44"/>
        <v>31.922897999999996</v>
      </c>
    </row>
    <row r="418" spans="1:19" ht="15">
      <c r="A418" s="161" t="s">
        <v>296</v>
      </c>
      <c r="B418" t="s">
        <v>374</v>
      </c>
      <c r="C418" t="s">
        <v>269</v>
      </c>
      <c r="D418" t="s">
        <v>327</v>
      </c>
      <c r="E418" t="s">
        <v>368</v>
      </c>
      <c r="F418" t="s">
        <v>301</v>
      </c>
      <c r="G418">
        <v>105098</v>
      </c>
      <c r="H418" t="s">
        <v>302</v>
      </c>
      <c r="I418">
        <v>201</v>
      </c>
      <c r="J418" t="s">
        <v>331</v>
      </c>
      <c r="K418" t="s">
        <v>304</v>
      </c>
      <c r="L418" t="s">
        <v>305</v>
      </c>
      <c r="M418">
        <v>-4392</v>
      </c>
      <c r="P418">
        <v>0</v>
      </c>
      <c r="R418" s="154"/>
      <c r="S418" s="73">
        <f t="shared" si="44"/>
        <v>-501.12720000000007</v>
      </c>
    </row>
    <row r="419" spans="1:19" ht="15">
      <c r="A419" s="161" t="s">
        <v>296</v>
      </c>
      <c r="B419" t="s">
        <v>374</v>
      </c>
      <c r="C419" t="s">
        <v>269</v>
      </c>
      <c r="D419" t="s">
        <v>327</v>
      </c>
      <c r="E419" t="s">
        <v>368</v>
      </c>
      <c r="F419" t="s">
        <v>301</v>
      </c>
      <c r="G419">
        <v>105099</v>
      </c>
      <c r="H419" t="s">
        <v>306</v>
      </c>
      <c r="I419">
        <v>201</v>
      </c>
      <c r="J419" t="s">
        <v>332</v>
      </c>
      <c r="K419" t="s">
        <v>304</v>
      </c>
      <c r="L419" t="s">
        <v>305</v>
      </c>
      <c r="M419">
        <v>4392</v>
      </c>
      <c r="P419">
        <v>0</v>
      </c>
      <c r="R419" s="154"/>
      <c r="S419" s="73">
        <f t="shared" si="44"/>
        <v>501.12720000000007</v>
      </c>
    </row>
    <row r="420" spans="1:19" ht="15">
      <c r="A420" s="161" t="s">
        <v>296</v>
      </c>
      <c r="B420" t="s">
        <v>374</v>
      </c>
      <c r="C420" t="s">
        <v>269</v>
      </c>
      <c r="D420" t="s">
        <v>327</v>
      </c>
      <c r="E420" t="s">
        <v>368</v>
      </c>
      <c r="F420" t="s">
        <v>301</v>
      </c>
      <c r="G420" s="213">
        <v>109001</v>
      </c>
      <c r="H420" t="s">
        <v>324</v>
      </c>
      <c r="I420">
        <v>201</v>
      </c>
      <c r="J420" t="s">
        <v>304</v>
      </c>
      <c r="K420" t="s">
        <v>304</v>
      </c>
      <c r="L420" t="s">
        <v>305</v>
      </c>
      <c r="M420">
        <v>521939.15</v>
      </c>
      <c r="P420">
        <v>537000</v>
      </c>
      <c r="Q420" s="124">
        <f t="shared" ref="Q420:Q422" si="45">M420-P420</f>
        <v>-15060.849999999977</v>
      </c>
      <c r="R420" s="124">
        <f>M420*-1.141</f>
        <v>-595532.57015000004</v>
      </c>
    </row>
    <row r="421" spans="1:19" ht="15">
      <c r="A421" s="161" t="s">
        <v>296</v>
      </c>
      <c r="B421" t="s">
        <v>374</v>
      </c>
      <c r="C421" t="s">
        <v>269</v>
      </c>
      <c r="D421" t="s">
        <v>327</v>
      </c>
      <c r="E421" t="s">
        <v>368</v>
      </c>
      <c r="F421" t="s">
        <v>301</v>
      </c>
      <c r="G421" s="213">
        <v>109901</v>
      </c>
      <c r="H421" t="s">
        <v>309</v>
      </c>
      <c r="I421">
        <v>201</v>
      </c>
      <c r="J421" t="s">
        <v>304</v>
      </c>
      <c r="K421" t="s">
        <v>304</v>
      </c>
      <c r="L421" t="s">
        <v>305</v>
      </c>
      <c r="M421">
        <v>850899.42</v>
      </c>
      <c r="P421">
        <v>881000</v>
      </c>
      <c r="Q421" s="124">
        <f t="shared" si="45"/>
        <v>-30100.579999999958</v>
      </c>
      <c r="R421" s="154"/>
    </row>
    <row r="422" spans="1:19" ht="15">
      <c r="A422" s="161" t="s">
        <v>296</v>
      </c>
      <c r="B422" t="s">
        <v>374</v>
      </c>
      <c r="C422" t="s">
        <v>269</v>
      </c>
      <c r="D422" t="s">
        <v>327</v>
      </c>
      <c r="E422" t="s">
        <v>368</v>
      </c>
      <c r="F422" t="s">
        <v>301</v>
      </c>
      <c r="G422" s="213">
        <v>109901</v>
      </c>
      <c r="H422" t="s">
        <v>309</v>
      </c>
      <c r="I422">
        <v>201</v>
      </c>
      <c r="J422" t="s">
        <v>332</v>
      </c>
      <c r="K422" t="s">
        <v>304</v>
      </c>
      <c r="L422" t="s">
        <v>305</v>
      </c>
      <c r="M422">
        <v>619.32000000000005</v>
      </c>
      <c r="P422">
        <v>0</v>
      </c>
      <c r="Q422" s="124">
        <f t="shared" si="45"/>
        <v>619.32000000000005</v>
      </c>
      <c r="R422" s="154"/>
    </row>
    <row r="423" spans="1:19" ht="15">
      <c r="A423" s="161" t="s">
        <v>296</v>
      </c>
      <c r="B423" t="s">
        <v>375</v>
      </c>
      <c r="C423" t="s">
        <v>270</v>
      </c>
      <c r="D423" t="s">
        <v>327</v>
      </c>
      <c r="E423" t="s">
        <v>368</v>
      </c>
      <c r="F423" t="s">
        <v>301</v>
      </c>
      <c r="G423">
        <v>101001</v>
      </c>
      <c r="H423" t="s">
        <v>329</v>
      </c>
      <c r="I423">
        <v>201</v>
      </c>
      <c r="J423" t="s">
        <v>304</v>
      </c>
      <c r="K423" t="s">
        <v>304</v>
      </c>
      <c r="L423" t="s">
        <v>305</v>
      </c>
      <c r="M423">
        <v>6970030.5099999998</v>
      </c>
      <c r="P423">
        <v>6552000</v>
      </c>
      <c r="R423" s="154"/>
      <c r="S423" s="73">
        <f t="shared" ref="S423:S440" si="46">M423*$S$7*1.141</f>
        <v>795280.48119099997</v>
      </c>
    </row>
    <row r="424" spans="1:19" ht="15">
      <c r="A424" s="161" t="s">
        <v>296</v>
      </c>
      <c r="B424" t="s">
        <v>375</v>
      </c>
      <c r="C424" t="s">
        <v>270</v>
      </c>
      <c r="D424" t="s">
        <v>327</v>
      </c>
      <c r="E424" t="s">
        <v>368</v>
      </c>
      <c r="F424" t="s">
        <v>301</v>
      </c>
      <c r="G424">
        <v>101002</v>
      </c>
      <c r="H424" t="s">
        <v>335</v>
      </c>
      <c r="I424">
        <v>201</v>
      </c>
      <c r="J424" t="s">
        <v>304</v>
      </c>
      <c r="K424" t="s">
        <v>304</v>
      </c>
      <c r="L424" t="s">
        <v>305</v>
      </c>
      <c r="M424">
        <v>-63594.54</v>
      </c>
      <c r="P424">
        <v>0</v>
      </c>
      <c r="R424" s="154"/>
      <c r="S424" s="73">
        <f t="shared" si="46"/>
        <v>-7256.1370140000008</v>
      </c>
    </row>
    <row r="425" spans="1:19" ht="15">
      <c r="A425" s="161" t="s">
        <v>296</v>
      </c>
      <c r="B425" t="s">
        <v>375</v>
      </c>
      <c r="C425" t="s">
        <v>270</v>
      </c>
      <c r="D425" t="s">
        <v>327</v>
      </c>
      <c r="E425" t="s">
        <v>368</v>
      </c>
      <c r="F425" t="s">
        <v>301</v>
      </c>
      <c r="G425">
        <v>101039</v>
      </c>
      <c r="H425" t="s">
        <v>312</v>
      </c>
      <c r="I425">
        <v>201</v>
      </c>
      <c r="J425" t="s">
        <v>304</v>
      </c>
      <c r="K425" t="s">
        <v>304</v>
      </c>
      <c r="L425" t="s">
        <v>305</v>
      </c>
      <c r="M425">
        <v>177244.72</v>
      </c>
      <c r="P425">
        <v>0</v>
      </c>
      <c r="R425" s="154"/>
      <c r="S425" s="73">
        <f t="shared" si="46"/>
        <v>20223.622552000001</v>
      </c>
    </row>
    <row r="426" spans="1:19" ht="15">
      <c r="A426" s="161" t="s">
        <v>296</v>
      </c>
      <c r="B426" t="s">
        <v>375</v>
      </c>
      <c r="C426" t="s">
        <v>270</v>
      </c>
      <c r="D426" t="s">
        <v>327</v>
      </c>
      <c r="E426" t="s">
        <v>368</v>
      </c>
      <c r="F426" t="s">
        <v>301</v>
      </c>
      <c r="G426">
        <v>102002</v>
      </c>
      <c r="H426" t="s">
        <v>338</v>
      </c>
      <c r="I426">
        <v>201</v>
      </c>
      <c r="J426" t="s">
        <v>304</v>
      </c>
      <c r="K426" t="s">
        <v>304</v>
      </c>
      <c r="L426" t="s">
        <v>305</v>
      </c>
      <c r="M426">
        <v>15169.54</v>
      </c>
      <c r="P426">
        <v>0</v>
      </c>
      <c r="R426" s="154"/>
      <c r="S426" s="73">
        <f t="shared" si="46"/>
        <v>1730.8445140000001</v>
      </c>
    </row>
    <row r="427" spans="1:19" ht="15">
      <c r="A427" s="161" t="s">
        <v>296</v>
      </c>
      <c r="B427" t="s">
        <v>375</v>
      </c>
      <c r="C427" t="s">
        <v>270</v>
      </c>
      <c r="D427" t="s">
        <v>327</v>
      </c>
      <c r="E427" t="s">
        <v>368</v>
      </c>
      <c r="F427" t="s">
        <v>301</v>
      </c>
      <c r="G427">
        <v>102003</v>
      </c>
      <c r="H427" t="s">
        <v>339</v>
      </c>
      <c r="I427">
        <v>201</v>
      </c>
      <c r="J427" t="s">
        <v>304</v>
      </c>
      <c r="K427" t="s">
        <v>304</v>
      </c>
      <c r="L427" t="s">
        <v>305</v>
      </c>
      <c r="M427">
        <v>257316.38</v>
      </c>
      <c r="P427">
        <v>205000</v>
      </c>
      <c r="R427" s="154"/>
      <c r="S427" s="73">
        <f t="shared" si="46"/>
        <v>29359.798958000003</v>
      </c>
    </row>
    <row r="428" spans="1:19" ht="15">
      <c r="A428" s="161" t="s">
        <v>296</v>
      </c>
      <c r="B428" t="s">
        <v>375</v>
      </c>
      <c r="C428" t="s">
        <v>270</v>
      </c>
      <c r="D428" t="s">
        <v>327</v>
      </c>
      <c r="E428" t="s">
        <v>368</v>
      </c>
      <c r="F428" t="s">
        <v>301</v>
      </c>
      <c r="G428">
        <v>102003</v>
      </c>
      <c r="H428" t="s">
        <v>339</v>
      </c>
      <c r="I428">
        <v>201</v>
      </c>
      <c r="J428" t="s">
        <v>355</v>
      </c>
      <c r="K428" t="s">
        <v>304</v>
      </c>
      <c r="L428" t="s">
        <v>305</v>
      </c>
      <c r="M428">
        <v>0</v>
      </c>
      <c r="P428">
        <v>0</v>
      </c>
      <c r="R428" s="154"/>
      <c r="S428" s="73">
        <f t="shared" si="46"/>
        <v>0</v>
      </c>
    </row>
    <row r="429" spans="1:19" ht="15">
      <c r="A429" s="161" t="s">
        <v>296</v>
      </c>
      <c r="B429" t="s">
        <v>375</v>
      </c>
      <c r="C429" t="s">
        <v>270</v>
      </c>
      <c r="D429" t="s">
        <v>327</v>
      </c>
      <c r="E429" t="s">
        <v>368</v>
      </c>
      <c r="F429" t="s">
        <v>301</v>
      </c>
      <c r="G429">
        <v>102003</v>
      </c>
      <c r="H429" t="s">
        <v>339</v>
      </c>
      <c r="I429">
        <v>201</v>
      </c>
      <c r="J429" t="s">
        <v>356</v>
      </c>
      <c r="K429" t="s">
        <v>304</v>
      </c>
      <c r="L429" t="s">
        <v>305</v>
      </c>
      <c r="M429">
        <v>0</v>
      </c>
      <c r="P429">
        <v>4000</v>
      </c>
      <c r="R429" s="154"/>
      <c r="S429" s="73">
        <f t="shared" si="46"/>
        <v>0</v>
      </c>
    </row>
    <row r="430" spans="1:19" ht="15">
      <c r="A430" s="161" t="s">
        <v>296</v>
      </c>
      <c r="B430" t="s">
        <v>375</v>
      </c>
      <c r="C430" t="s">
        <v>270</v>
      </c>
      <c r="D430" t="s">
        <v>327</v>
      </c>
      <c r="E430" t="s">
        <v>368</v>
      </c>
      <c r="F430" t="s">
        <v>301</v>
      </c>
      <c r="G430">
        <v>102005</v>
      </c>
      <c r="H430" t="s">
        <v>340</v>
      </c>
      <c r="I430">
        <v>201</v>
      </c>
      <c r="J430" t="s">
        <v>304</v>
      </c>
      <c r="K430" t="s">
        <v>304</v>
      </c>
      <c r="L430" t="s">
        <v>305</v>
      </c>
      <c r="M430">
        <v>58271.7</v>
      </c>
      <c r="P430">
        <v>0</v>
      </c>
      <c r="R430" s="154"/>
      <c r="S430" s="73">
        <f t="shared" si="46"/>
        <v>6648.8009700000002</v>
      </c>
    </row>
    <row r="431" spans="1:19" ht="15">
      <c r="A431" s="161" t="s">
        <v>296</v>
      </c>
      <c r="B431" t="s">
        <v>375</v>
      </c>
      <c r="C431" t="s">
        <v>270</v>
      </c>
      <c r="D431" t="s">
        <v>327</v>
      </c>
      <c r="E431" t="s">
        <v>368</v>
      </c>
      <c r="F431" t="s">
        <v>301</v>
      </c>
      <c r="G431">
        <v>102062</v>
      </c>
      <c r="H431" t="s">
        <v>341</v>
      </c>
      <c r="I431">
        <v>201</v>
      </c>
      <c r="J431" t="s">
        <v>304</v>
      </c>
      <c r="K431" t="s">
        <v>304</v>
      </c>
      <c r="L431" t="s">
        <v>305</v>
      </c>
      <c r="M431">
        <v>3046.4</v>
      </c>
      <c r="P431">
        <v>0</v>
      </c>
      <c r="R431" s="154"/>
      <c r="S431" s="73">
        <f t="shared" si="46"/>
        <v>347.59424000000007</v>
      </c>
    </row>
    <row r="432" spans="1:19" ht="15">
      <c r="A432" s="161" t="s">
        <v>296</v>
      </c>
      <c r="B432" t="s">
        <v>375</v>
      </c>
      <c r="C432" t="s">
        <v>270</v>
      </c>
      <c r="D432" t="s">
        <v>327</v>
      </c>
      <c r="E432" t="s">
        <v>368</v>
      </c>
      <c r="F432" t="s">
        <v>301</v>
      </c>
      <c r="G432">
        <v>103001</v>
      </c>
      <c r="H432" t="s">
        <v>342</v>
      </c>
      <c r="I432">
        <v>201</v>
      </c>
      <c r="J432" t="s">
        <v>304</v>
      </c>
      <c r="K432" t="s">
        <v>304</v>
      </c>
      <c r="L432" t="s">
        <v>305</v>
      </c>
      <c r="M432">
        <v>42870.47</v>
      </c>
      <c r="P432">
        <v>0</v>
      </c>
      <c r="R432" s="154"/>
      <c r="S432" s="73">
        <f t="shared" si="46"/>
        <v>4891.5206270000008</v>
      </c>
    </row>
    <row r="433" spans="1:19" ht="15">
      <c r="A433" s="161" t="s">
        <v>296</v>
      </c>
      <c r="B433" t="s">
        <v>375</v>
      </c>
      <c r="C433" t="s">
        <v>270</v>
      </c>
      <c r="D433" t="s">
        <v>327</v>
      </c>
      <c r="E433" t="s">
        <v>368</v>
      </c>
      <c r="F433" t="s">
        <v>301</v>
      </c>
      <c r="G433">
        <v>103001</v>
      </c>
      <c r="H433" t="s">
        <v>342</v>
      </c>
      <c r="I433">
        <v>201</v>
      </c>
      <c r="J433" t="s">
        <v>336</v>
      </c>
      <c r="K433" t="s">
        <v>304</v>
      </c>
      <c r="L433" t="s">
        <v>305</v>
      </c>
      <c r="M433">
        <v>1335.44</v>
      </c>
      <c r="P433">
        <v>0</v>
      </c>
      <c r="R433" s="154"/>
      <c r="S433" s="73">
        <f t="shared" si="46"/>
        <v>152.373704</v>
      </c>
    </row>
    <row r="434" spans="1:19" ht="15">
      <c r="A434" s="161" t="s">
        <v>296</v>
      </c>
      <c r="B434" t="s">
        <v>375</v>
      </c>
      <c r="C434" t="s">
        <v>270</v>
      </c>
      <c r="D434" t="s">
        <v>327</v>
      </c>
      <c r="E434" t="s">
        <v>368</v>
      </c>
      <c r="F434" t="s">
        <v>301</v>
      </c>
      <c r="G434">
        <v>103001</v>
      </c>
      <c r="H434" t="s">
        <v>342</v>
      </c>
      <c r="I434">
        <v>201</v>
      </c>
      <c r="J434" t="s">
        <v>357</v>
      </c>
      <c r="K434" t="s">
        <v>304</v>
      </c>
      <c r="L434" t="s">
        <v>305</v>
      </c>
      <c r="M434">
        <v>5446.22</v>
      </c>
      <c r="P434">
        <v>0</v>
      </c>
      <c r="R434" s="154"/>
      <c r="S434" s="73">
        <f t="shared" si="46"/>
        <v>621.41370200000006</v>
      </c>
    </row>
    <row r="435" spans="1:19" ht="15">
      <c r="A435" s="161" t="s">
        <v>296</v>
      </c>
      <c r="B435" t="s">
        <v>375</v>
      </c>
      <c r="C435" t="s">
        <v>270</v>
      </c>
      <c r="D435" t="s">
        <v>327</v>
      </c>
      <c r="E435" t="s">
        <v>368</v>
      </c>
      <c r="F435" t="s">
        <v>301</v>
      </c>
      <c r="G435">
        <v>103069</v>
      </c>
      <c r="H435" t="s">
        <v>344</v>
      </c>
      <c r="I435">
        <v>201</v>
      </c>
      <c r="J435" t="s">
        <v>304</v>
      </c>
      <c r="K435" t="s">
        <v>304</v>
      </c>
      <c r="L435" t="s">
        <v>305</v>
      </c>
      <c r="M435">
        <v>4949.4799999999996</v>
      </c>
      <c r="P435">
        <v>0</v>
      </c>
      <c r="R435" s="154"/>
      <c r="S435" s="73">
        <f t="shared" si="46"/>
        <v>564.73566800000003</v>
      </c>
    </row>
    <row r="436" spans="1:19" ht="15">
      <c r="A436" s="161" t="s">
        <v>296</v>
      </c>
      <c r="B436" t="s">
        <v>375</v>
      </c>
      <c r="C436" t="s">
        <v>270</v>
      </c>
      <c r="D436" t="s">
        <v>327</v>
      </c>
      <c r="E436" t="s">
        <v>368</v>
      </c>
      <c r="F436" t="s">
        <v>301</v>
      </c>
      <c r="G436">
        <v>104000</v>
      </c>
      <c r="H436" t="s">
        <v>345</v>
      </c>
      <c r="I436">
        <v>201</v>
      </c>
      <c r="J436" t="s">
        <v>304</v>
      </c>
      <c r="K436" t="s">
        <v>304</v>
      </c>
      <c r="L436" t="s">
        <v>305</v>
      </c>
      <c r="M436">
        <v>61241.23</v>
      </c>
      <c r="P436">
        <v>55000</v>
      </c>
      <c r="R436" s="154"/>
      <c r="S436" s="73">
        <f t="shared" si="46"/>
        <v>6987.6243430000004</v>
      </c>
    </row>
    <row r="437" spans="1:19" ht="15">
      <c r="A437" s="161" t="s">
        <v>296</v>
      </c>
      <c r="B437" t="s">
        <v>375</v>
      </c>
      <c r="C437" t="s">
        <v>270</v>
      </c>
      <c r="D437" t="s">
        <v>327</v>
      </c>
      <c r="E437" t="s">
        <v>368</v>
      </c>
      <c r="F437" t="s">
        <v>301</v>
      </c>
      <c r="G437">
        <v>105010</v>
      </c>
      <c r="H437" t="s">
        <v>347</v>
      </c>
      <c r="I437">
        <v>201</v>
      </c>
      <c r="J437" t="s">
        <v>304</v>
      </c>
      <c r="K437" t="s">
        <v>304</v>
      </c>
      <c r="L437" t="s">
        <v>305</v>
      </c>
      <c r="M437">
        <v>776.8</v>
      </c>
      <c r="P437">
        <v>0</v>
      </c>
      <c r="R437" s="154"/>
      <c r="S437" s="73">
        <f t="shared" si="46"/>
        <v>88.632880000000014</v>
      </c>
    </row>
    <row r="438" spans="1:19" ht="15">
      <c r="A438" s="161" t="s">
        <v>296</v>
      </c>
      <c r="B438" t="s">
        <v>375</v>
      </c>
      <c r="C438" t="s">
        <v>270</v>
      </c>
      <c r="D438" t="s">
        <v>327</v>
      </c>
      <c r="E438" t="s">
        <v>368</v>
      </c>
      <c r="F438" t="s">
        <v>301</v>
      </c>
      <c r="G438">
        <v>105019</v>
      </c>
      <c r="H438" t="s">
        <v>348</v>
      </c>
      <c r="I438">
        <v>201</v>
      </c>
      <c r="J438" t="s">
        <v>304</v>
      </c>
      <c r="K438" t="s">
        <v>304</v>
      </c>
      <c r="L438" t="s">
        <v>305</v>
      </c>
      <c r="M438">
        <v>295.68</v>
      </c>
      <c r="P438">
        <v>0</v>
      </c>
      <c r="R438" s="154"/>
      <c r="S438" s="73">
        <f t="shared" si="46"/>
        <v>33.737088</v>
      </c>
    </row>
    <row r="439" spans="1:19" ht="15">
      <c r="A439" s="161" t="s">
        <v>296</v>
      </c>
      <c r="B439" t="s">
        <v>375</v>
      </c>
      <c r="C439" t="s">
        <v>270</v>
      </c>
      <c r="D439" t="s">
        <v>327</v>
      </c>
      <c r="E439" t="s">
        <v>368</v>
      </c>
      <c r="F439" t="s">
        <v>301</v>
      </c>
      <c r="G439">
        <v>105098</v>
      </c>
      <c r="H439" t="s">
        <v>302</v>
      </c>
      <c r="I439">
        <v>201</v>
      </c>
      <c r="J439" t="s">
        <v>331</v>
      </c>
      <c r="K439" t="s">
        <v>304</v>
      </c>
      <c r="L439" t="s">
        <v>305</v>
      </c>
      <c r="M439">
        <v>-4392</v>
      </c>
      <c r="P439">
        <v>0</v>
      </c>
      <c r="R439" s="154"/>
      <c r="S439" s="73">
        <f t="shared" si="46"/>
        <v>-501.12720000000007</v>
      </c>
    </row>
    <row r="440" spans="1:19" ht="15">
      <c r="A440" s="161" t="s">
        <v>296</v>
      </c>
      <c r="B440" t="s">
        <v>375</v>
      </c>
      <c r="C440" t="s">
        <v>270</v>
      </c>
      <c r="D440" t="s">
        <v>327</v>
      </c>
      <c r="E440" t="s">
        <v>368</v>
      </c>
      <c r="F440" t="s">
        <v>301</v>
      </c>
      <c r="G440">
        <v>105099</v>
      </c>
      <c r="H440" t="s">
        <v>306</v>
      </c>
      <c r="I440">
        <v>201</v>
      </c>
      <c r="J440" t="s">
        <v>332</v>
      </c>
      <c r="K440" t="s">
        <v>304</v>
      </c>
      <c r="L440" t="s">
        <v>305</v>
      </c>
      <c r="M440">
        <v>4392</v>
      </c>
      <c r="P440">
        <v>0</v>
      </c>
      <c r="R440" s="154"/>
      <c r="S440" s="73">
        <f t="shared" si="46"/>
        <v>501.12720000000007</v>
      </c>
    </row>
    <row r="441" spans="1:19" ht="15">
      <c r="A441" s="161" t="s">
        <v>296</v>
      </c>
      <c r="B441" t="s">
        <v>375</v>
      </c>
      <c r="C441" t="s">
        <v>270</v>
      </c>
      <c r="D441" t="s">
        <v>327</v>
      </c>
      <c r="E441" t="s">
        <v>368</v>
      </c>
      <c r="F441" t="s">
        <v>301</v>
      </c>
      <c r="G441" s="213">
        <v>109001</v>
      </c>
      <c r="H441" t="s">
        <v>324</v>
      </c>
      <c r="I441">
        <v>201</v>
      </c>
      <c r="J441" t="s">
        <v>304</v>
      </c>
      <c r="K441" t="s">
        <v>304</v>
      </c>
      <c r="L441" t="s">
        <v>305</v>
      </c>
      <c r="M441">
        <v>696378.43</v>
      </c>
      <c r="P441">
        <v>642000</v>
      </c>
      <c r="Q441" s="124">
        <f t="shared" ref="Q441:Q450" si="47">M441-P441</f>
        <v>54378.430000000051</v>
      </c>
      <c r="R441" s="124">
        <f t="shared" ref="R441:R444" si="48">M441*-1.141</f>
        <v>-794567.78863000008</v>
      </c>
    </row>
    <row r="442" spans="1:19" ht="15">
      <c r="A442" s="161" t="s">
        <v>296</v>
      </c>
      <c r="B442" t="s">
        <v>375</v>
      </c>
      <c r="C442" t="s">
        <v>270</v>
      </c>
      <c r="D442" t="s">
        <v>327</v>
      </c>
      <c r="E442" t="s">
        <v>368</v>
      </c>
      <c r="F442" t="s">
        <v>301</v>
      </c>
      <c r="G442" s="213">
        <v>109001</v>
      </c>
      <c r="H442" t="s">
        <v>324</v>
      </c>
      <c r="I442">
        <v>201</v>
      </c>
      <c r="J442" t="s">
        <v>336</v>
      </c>
      <c r="K442" t="s">
        <v>304</v>
      </c>
      <c r="L442" t="s">
        <v>305</v>
      </c>
      <c r="M442">
        <v>126.54</v>
      </c>
      <c r="P442">
        <v>0</v>
      </c>
      <c r="Q442" s="124">
        <f t="shared" si="47"/>
        <v>126.54</v>
      </c>
      <c r="R442" s="124">
        <f t="shared" si="48"/>
        <v>-144.38214000000002</v>
      </c>
    </row>
    <row r="443" spans="1:19" ht="15">
      <c r="A443" s="161" t="s">
        <v>296</v>
      </c>
      <c r="B443" t="s">
        <v>375</v>
      </c>
      <c r="C443" t="s">
        <v>270</v>
      </c>
      <c r="D443" t="s">
        <v>327</v>
      </c>
      <c r="E443" t="s">
        <v>368</v>
      </c>
      <c r="F443" t="s">
        <v>301</v>
      </c>
      <c r="G443" s="213">
        <v>109001</v>
      </c>
      <c r="H443" t="s">
        <v>324</v>
      </c>
      <c r="I443">
        <v>201</v>
      </c>
      <c r="J443" t="s">
        <v>357</v>
      </c>
      <c r="K443" t="s">
        <v>304</v>
      </c>
      <c r="L443" t="s">
        <v>305</v>
      </c>
      <c r="M443">
        <v>516.07000000000005</v>
      </c>
      <c r="P443">
        <v>0</v>
      </c>
      <c r="Q443" s="124">
        <f t="shared" si="47"/>
        <v>516.07000000000005</v>
      </c>
      <c r="R443" s="124">
        <f t="shared" si="48"/>
        <v>-588.83587000000011</v>
      </c>
    </row>
    <row r="444" spans="1:19" ht="15">
      <c r="A444" s="161" t="s">
        <v>296</v>
      </c>
      <c r="B444" t="s">
        <v>375</v>
      </c>
      <c r="C444" t="s">
        <v>270</v>
      </c>
      <c r="D444" t="s">
        <v>327</v>
      </c>
      <c r="E444" t="s">
        <v>368</v>
      </c>
      <c r="F444" t="s">
        <v>301</v>
      </c>
      <c r="G444" s="213">
        <v>109002</v>
      </c>
      <c r="H444" t="s">
        <v>376</v>
      </c>
      <c r="I444">
        <v>201</v>
      </c>
      <c r="J444" t="s">
        <v>304</v>
      </c>
      <c r="K444" t="s">
        <v>304</v>
      </c>
      <c r="L444" t="s">
        <v>305</v>
      </c>
      <c r="M444">
        <v>0</v>
      </c>
      <c r="P444">
        <v>0</v>
      </c>
      <c r="Q444" s="124">
        <f t="shared" si="47"/>
        <v>0</v>
      </c>
      <c r="R444" s="124">
        <f t="shared" si="48"/>
        <v>0</v>
      </c>
    </row>
    <row r="445" spans="1:19" ht="15">
      <c r="A445" s="161" t="s">
        <v>296</v>
      </c>
      <c r="B445" t="s">
        <v>375</v>
      </c>
      <c r="C445" t="s">
        <v>270</v>
      </c>
      <c r="D445" t="s">
        <v>327</v>
      </c>
      <c r="E445" t="s">
        <v>368</v>
      </c>
      <c r="F445" t="s">
        <v>301</v>
      </c>
      <c r="G445" s="213">
        <v>109901</v>
      </c>
      <c r="H445" t="s">
        <v>309</v>
      </c>
      <c r="I445">
        <v>201</v>
      </c>
      <c r="J445" t="s">
        <v>304</v>
      </c>
      <c r="K445" t="s">
        <v>304</v>
      </c>
      <c r="L445" t="s">
        <v>305</v>
      </c>
      <c r="M445">
        <v>1041072.66</v>
      </c>
      <c r="P445">
        <v>1050000</v>
      </c>
      <c r="Q445" s="124">
        <f t="shared" si="47"/>
        <v>-8927.3399999999674</v>
      </c>
      <c r="R445" s="154"/>
    </row>
    <row r="446" spans="1:19" ht="15">
      <c r="A446" s="161" t="s">
        <v>296</v>
      </c>
      <c r="B446" t="s">
        <v>375</v>
      </c>
      <c r="C446" t="s">
        <v>270</v>
      </c>
      <c r="D446" t="s">
        <v>327</v>
      </c>
      <c r="E446" t="s">
        <v>368</v>
      </c>
      <c r="F446" t="s">
        <v>301</v>
      </c>
      <c r="G446" s="213">
        <v>109901</v>
      </c>
      <c r="H446" t="s">
        <v>309</v>
      </c>
      <c r="I446">
        <v>201</v>
      </c>
      <c r="J446" t="s">
        <v>332</v>
      </c>
      <c r="K446" t="s">
        <v>304</v>
      </c>
      <c r="L446" t="s">
        <v>305</v>
      </c>
      <c r="M446">
        <v>619.32000000000005</v>
      </c>
      <c r="P446">
        <v>0</v>
      </c>
      <c r="Q446" s="124">
        <f t="shared" si="47"/>
        <v>619.32000000000005</v>
      </c>
      <c r="R446" s="154"/>
    </row>
    <row r="447" spans="1:19" ht="15">
      <c r="A447" s="161" t="s">
        <v>296</v>
      </c>
      <c r="B447" t="s">
        <v>375</v>
      </c>
      <c r="C447" t="s">
        <v>270</v>
      </c>
      <c r="D447" t="s">
        <v>327</v>
      </c>
      <c r="E447" t="s">
        <v>368</v>
      </c>
      <c r="F447" t="s">
        <v>301</v>
      </c>
      <c r="G447" s="213">
        <v>109901</v>
      </c>
      <c r="H447" t="s">
        <v>309</v>
      </c>
      <c r="I447">
        <v>201</v>
      </c>
      <c r="J447" t="s">
        <v>336</v>
      </c>
      <c r="K447" t="s">
        <v>304</v>
      </c>
      <c r="L447" t="s">
        <v>305</v>
      </c>
      <c r="M447">
        <v>206.13</v>
      </c>
      <c r="P447">
        <v>0</v>
      </c>
      <c r="Q447" s="124">
        <f t="shared" si="47"/>
        <v>206.13</v>
      </c>
      <c r="R447" s="154"/>
    </row>
    <row r="448" spans="1:19" ht="15">
      <c r="A448" s="161" t="s">
        <v>296</v>
      </c>
      <c r="B448" t="s">
        <v>375</v>
      </c>
      <c r="C448" t="s">
        <v>270</v>
      </c>
      <c r="D448" t="s">
        <v>327</v>
      </c>
      <c r="E448" t="s">
        <v>368</v>
      </c>
      <c r="F448" t="s">
        <v>301</v>
      </c>
      <c r="G448" s="213">
        <v>109901</v>
      </c>
      <c r="H448" t="s">
        <v>309</v>
      </c>
      <c r="I448">
        <v>201</v>
      </c>
      <c r="J448" t="s">
        <v>357</v>
      </c>
      <c r="K448" t="s">
        <v>304</v>
      </c>
      <c r="L448" t="s">
        <v>305</v>
      </c>
      <c r="M448">
        <v>840.69</v>
      </c>
      <c r="P448">
        <v>0</v>
      </c>
      <c r="Q448" s="124">
        <f t="shared" si="47"/>
        <v>840.69</v>
      </c>
      <c r="R448" s="154"/>
    </row>
    <row r="449" spans="1:19" ht="15">
      <c r="A449" s="161" t="s">
        <v>296</v>
      </c>
      <c r="B449" t="s">
        <v>375</v>
      </c>
      <c r="C449" t="s">
        <v>270</v>
      </c>
      <c r="D449" t="s">
        <v>327</v>
      </c>
      <c r="E449" t="s">
        <v>368</v>
      </c>
      <c r="F449" t="s">
        <v>301</v>
      </c>
      <c r="G449" s="213">
        <v>109901</v>
      </c>
      <c r="H449" t="s">
        <v>309</v>
      </c>
      <c r="I449">
        <v>201</v>
      </c>
      <c r="J449" t="s">
        <v>355</v>
      </c>
      <c r="K449" t="s">
        <v>304</v>
      </c>
      <c r="L449" t="s">
        <v>305</v>
      </c>
      <c r="M449">
        <v>0</v>
      </c>
      <c r="P449">
        <v>0</v>
      </c>
      <c r="Q449" s="124">
        <f t="shared" si="47"/>
        <v>0</v>
      </c>
      <c r="R449" s="154"/>
    </row>
    <row r="450" spans="1:19" ht="15">
      <c r="A450" s="161" t="s">
        <v>296</v>
      </c>
      <c r="B450" t="s">
        <v>375</v>
      </c>
      <c r="C450" t="s">
        <v>270</v>
      </c>
      <c r="D450" t="s">
        <v>327</v>
      </c>
      <c r="E450" t="s">
        <v>368</v>
      </c>
      <c r="F450" t="s">
        <v>301</v>
      </c>
      <c r="G450" s="213">
        <v>109901</v>
      </c>
      <c r="H450" t="s">
        <v>309</v>
      </c>
      <c r="I450">
        <v>201</v>
      </c>
      <c r="J450" t="s">
        <v>356</v>
      </c>
      <c r="K450" t="s">
        <v>304</v>
      </c>
      <c r="L450" t="s">
        <v>305</v>
      </c>
      <c r="M450">
        <v>0</v>
      </c>
      <c r="P450">
        <v>1000</v>
      </c>
      <c r="Q450" s="124">
        <f t="shared" si="47"/>
        <v>-1000</v>
      </c>
      <c r="R450" s="154"/>
    </row>
    <row r="451" spans="1:19" ht="15">
      <c r="A451" s="161" t="s">
        <v>296</v>
      </c>
      <c r="B451" t="s">
        <v>377</v>
      </c>
      <c r="C451" t="s">
        <v>271</v>
      </c>
      <c r="D451" t="s">
        <v>327</v>
      </c>
      <c r="E451" t="s">
        <v>368</v>
      </c>
      <c r="F451" t="s">
        <v>301</v>
      </c>
      <c r="G451">
        <v>101001</v>
      </c>
      <c r="H451" t="s">
        <v>329</v>
      </c>
      <c r="I451">
        <v>201</v>
      </c>
      <c r="J451" t="s">
        <v>304</v>
      </c>
      <c r="K451" t="s">
        <v>304</v>
      </c>
      <c r="L451" t="s">
        <v>305</v>
      </c>
      <c r="M451">
        <v>4718522.95</v>
      </c>
      <c r="P451">
        <v>4708000</v>
      </c>
      <c r="R451" s="154"/>
      <c r="S451" s="73">
        <f t="shared" ref="S451:S467" si="49">M451*$S$7*1.141</f>
        <v>538383.4685950001</v>
      </c>
    </row>
    <row r="452" spans="1:19" ht="15">
      <c r="A452" s="161" t="s">
        <v>296</v>
      </c>
      <c r="B452" t="s">
        <v>377</v>
      </c>
      <c r="C452" t="s">
        <v>271</v>
      </c>
      <c r="D452" t="s">
        <v>327</v>
      </c>
      <c r="E452" t="s">
        <v>368</v>
      </c>
      <c r="F452" t="s">
        <v>301</v>
      </c>
      <c r="G452">
        <v>101002</v>
      </c>
      <c r="H452" t="s">
        <v>335</v>
      </c>
      <c r="I452">
        <v>201</v>
      </c>
      <c r="J452" t="s">
        <v>304</v>
      </c>
      <c r="K452" t="s">
        <v>304</v>
      </c>
      <c r="L452" t="s">
        <v>305</v>
      </c>
      <c r="M452">
        <v>-9726.69</v>
      </c>
      <c r="P452">
        <v>0</v>
      </c>
      <c r="R452" s="154"/>
      <c r="S452" s="73">
        <f t="shared" si="49"/>
        <v>-1109.815329</v>
      </c>
    </row>
    <row r="453" spans="1:19" ht="15">
      <c r="A453" s="161" t="s">
        <v>296</v>
      </c>
      <c r="B453" t="s">
        <v>377</v>
      </c>
      <c r="C453" t="s">
        <v>271</v>
      </c>
      <c r="D453" t="s">
        <v>327</v>
      </c>
      <c r="E453" t="s">
        <v>368</v>
      </c>
      <c r="F453" t="s">
        <v>301</v>
      </c>
      <c r="G453">
        <v>101039</v>
      </c>
      <c r="H453" t="s">
        <v>312</v>
      </c>
      <c r="I453">
        <v>201</v>
      </c>
      <c r="J453" t="s">
        <v>304</v>
      </c>
      <c r="K453" t="s">
        <v>304</v>
      </c>
      <c r="L453" t="s">
        <v>305</v>
      </c>
      <c r="M453">
        <v>152259.01999999999</v>
      </c>
      <c r="P453">
        <v>24000</v>
      </c>
      <c r="R453" s="154"/>
      <c r="S453" s="73">
        <f t="shared" si="49"/>
        <v>17372.754182000001</v>
      </c>
    </row>
    <row r="454" spans="1:19" ht="15">
      <c r="A454" s="161" t="s">
        <v>296</v>
      </c>
      <c r="B454" t="s">
        <v>377</v>
      </c>
      <c r="C454" t="s">
        <v>271</v>
      </c>
      <c r="D454" t="s">
        <v>327</v>
      </c>
      <c r="E454" t="s">
        <v>368</v>
      </c>
      <c r="F454" t="s">
        <v>301</v>
      </c>
      <c r="G454">
        <v>102002</v>
      </c>
      <c r="H454" t="s">
        <v>338</v>
      </c>
      <c r="I454">
        <v>201</v>
      </c>
      <c r="J454" t="s">
        <v>304</v>
      </c>
      <c r="K454" t="s">
        <v>304</v>
      </c>
      <c r="L454" t="s">
        <v>305</v>
      </c>
      <c r="M454">
        <v>19905.96</v>
      </c>
      <c r="P454">
        <v>0</v>
      </c>
      <c r="R454" s="154"/>
      <c r="S454" s="73">
        <f t="shared" si="49"/>
        <v>2271.2700359999999</v>
      </c>
    </row>
    <row r="455" spans="1:19" ht="15">
      <c r="A455" s="161" t="s">
        <v>296</v>
      </c>
      <c r="B455" t="s">
        <v>377</v>
      </c>
      <c r="C455" t="s">
        <v>271</v>
      </c>
      <c r="D455" t="s">
        <v>327</v>
      </c>
      <c r="E455" t="s">
        <v>368</v>
      </c>
      <c r="F455" t="s">
        <v>301</v>
      </c>
      <c r="G455">
        <v>102003</v>
      </c>
      <c r="H455" t="s">
        <v>339</v>
      </c>
      <c r="I455">
        <v>201</v>
      </c>
      <c r="J455" t="s">
        <v>304</v>
      </c>
      <c r="K455" t="s">
        <v>304</v>
      </c>
      <c r="L455" t="s">
        <v>305</v>
      </c>
      <c r="M455">
        <v>126392.09</v>
      </c>
      <c r="P455">
        <v>139000</v>
      </c>
      <c r="R455" s="154"/>
      <c r="S455" s="73">
        <f t="shared" si="49"/>
        <v>14421.337469000002</v>
      </c>
    </row>
    <row r="456" spans="1:19" ht="15">
      <c r="A456" s="161" t="s">
        <v>296</v>
      </c>
      <c r="B456" t="s">
        <v>377</v>
      </c>
      <c r="C456" t="s">
        <v>271</v>
      </c>
      <c r="D456" t="s">
        <v>327</v>
      </c>
      <c r="E456" t="s">
        <v>368</v>
      </c>
      <c r="F456" t="s">
        <v>301</v>
      </c>
      <c r="G456">
        <v>102005</v>
      </c>
      <c r="H456" t="s">
        <v>340</v>
      </c>
      <c r="I456">
        <v>201</v>
      </c>
      <c r="J456" t="s">
        <v>304</v>
      </c>
      <c r="K456" t="s">
        <v>304</v>
      </c>
      <c r="L456" t="s">
        <v>305</v>
      </c>
      <c r="M456">
        <v>85206.12</v>
      </c>
      <c r="P456">
        <v>8000</v>
      </c>
      <c r="R456" s="154"/>
      <c r="S456" s="73">
        <f t="shared" si="49"/>
        <v>9722.0182919999988</v>
      </c>
    </row>
    <row r="457" spans="1:19" ht="15">
      <c r="A457" s="161" t="s">
        <v>296</v>
      </c>
      <c r="B457" t="s">
        <v>377</v>
      </c>
      <c r="C457" t="s">
        <v>271</v>
      </c>
      <c r="D457" t="s">
        <v>327</v>
      </c>
      <c r="E457" t="s">
        <v>368</v>
      </c>
      <c r="F457" t="s">
        <v>301</v>
      </c>
      <c r="G457">
        <v>102062</v>
      </c>
      <c r="H457" t="s">
        <v>341</v>
      </c>
      <c r="I457">
        <v>201</v>
      </c>
      <c r="J457" t="s">
        <v>304</v>
      </c>
      <c r="K457" t="s">
        <v>304</v>
      </c>
      <c r="L457" t="s">
        <v>305</v>
      </c>
      <c r="M457">
        <v>2186.2399999999998</v>
      </c>
      <c r="P457">
        <v>0</v>
      </c>
      <c r="R457" s="154"/>
      <c r="S457" s="73">
        <f t="shared" si="49"/>
        <v>249.449984</v>
      </c>
    </row>
    <row r="458" spans="1:19" ht="15">
      <c r="A458" s="161" t="s">
        <v>296</v>
      </c>
      <c r="B458" t="s">
        <v>377</v>
      </c>
      <c r="C458" t="s">
        <v>271</v>
      </c>
      <c r="D458" t="s">
        <v>327</v>
      </c>
      <c r="E458" t="s">
        <v>368</v>
      </c>
      <c r="F458" t="s">
        <v>301</v>
      </c>
      <c r="G458">
        <v>103001</v>
      </c>
      <c r="H458" t="s">
        <v>342</v>
      </c>
      <c r="I458">
        <v>201</v>
      </c>
      <c r="J458" t="s">
        <v>304</v>
      </c>
      <c r="K458" t="s">
        <v>304</v>
      </c>
      <c r="L458" t="s">
        <v>305</v>
      </c>
      <c r="M458">
        <v>34922.06</v>
      </c>
      <c r="P458">
        <v>0</v>
      </c>
      <c r="R458" s="154"/>
      <c r="S458" s="73">
        <f t="shared" si="49"/>
        <v>3984.6070460000001</v>
      </c>
    </row>
    <row r="459" spans="1:19" ht="15">
      <c r="A459" s="161" t="s">
        <v>296</v>
      </c>
      <c r="B459" t="s">
        <v>377</v>
      </c>
      <c r="C459" t="s">
        <v>271</v>
      </c>
      <c r="D459" t="s">
        <v>327</v>
      </c>
      <c r="E459" t="s">
        <v>368</v>
      </c>
      <c r="F459" t="s">
        <v>301</v>
      </c>
      <c r="G459">
        <v>103001</v>
      </c>
      <c r="H459" t="s">
        <v>342</v>
      </c>
      <c r="I459">
        <v>201</v>
      </c>
      <c r="J459" t="s">
        <v>334</v>
      </c>
      <c r="K459" t="s">
        <v>304</v>
      </c>
      <c r="L459" t="s">
        <v>305</v>
      </c>
      <c r="M459">
        <v>0</v>
      </c>
      <c r="P459">
        <v>0</v>
      </c>
      <c r="R459" s="154"/>
      <c r="S459" s="73">
        <f t="shared" si="49"/>
        <v>0</v>
      </c>
    </row>
    <row r="460" spans="1:19" ht="15">
      <c r="A460" s="161" t="s">
        <v>296</v>
      </c>
      <c r="B460" t="s">
        <v>377</v>
      </c>
      <c r="C460" t="s">
        <v>271</v>
      </c>
      <c r="D460" t="s">
        <v>327</v>
      </c>
      <c r="E460" t="s">
        <v>368</v>
      </c>
      <c r="F460" t="s">
        <v>301</v>
      </c>
      <c r="G460">
        <v>103062</v>
      </c>
      <c r="H460" t="s">
        <v>343</v>
      </c>
      <c r="I460">
        <v>201</v>
      </c>
      <c r="J460" t="s">
        <v>304</v>
      </c>
      <c r="K460" t="s">
        <v>304</v>
      </c>
      <c r="L460" t="s">
        <v>305</v>
      </c>
      <c r="M460">
        <v>322.56</v>
      </c>
      <c r="P460">
        <v>0</v>
      </c>
      <c r="R460" s="154"/>
      <c r="S460" s="73">
        <f t="shared" si="49"/>
        <v>36.804096000000001</v>
      </c>
    </row>
    <row r="461" spans="1:19" ht="15">
      <c r="A461" s="161" t="s">
        <v>296</v>
      </c>
      <c r="B461" t="s">
        <v>377</v>
      </c>
      <c r="C461" t="s">
        <v>271</v>
      </c>
      <c r="D461" t="s">
        <v>327</v>
      </c>
      <c r="E461" t="s">
        <v>368</v>
      </c>
      <c r="F461" t="s">
        <v>301</v>
      </c>
      <c r="G461">
        <v>103069</v>
      </c>
      <c r="H461" t="s">
        <v>344</v>
      </c>
      <c r="I461">
        <v>201</v>
      </c>
      <c r="J461" t="s">
        <v>304</v>
      </c>
      <c r="K461" t="s">
        <v>304</v>
      </c>
      <c r="L461" t="s">
        <v>305</v>
      </c>
      <c r="M461">
        <v>5458.82</v>
      </c>
      <c r="P461">
        <v>0</v>
      </c>
      <c r="R461" s="154"/>
      <c r="S461" s="73">
        <f t="shared" si="49"/>
        <v>622.85136199999999</v>
      </c>
    </row>
    <row r="462" spans="1:19" ht="15">
      <c r="A462" s="161" t="s">
        <v>296</v>
      </c>
      <c r="B462" t="s">
        <v>377</v>
      </c>
      <c r="C462" t="s">
        <v>271</v>
      </c>
      <c r="D462" t="s">
        <v>327</v>
      </c>
      <c r="E462" t="s">
        <v>368</v>
      </c>
      <c r="F462" t="s">
        <v>301</v>
      </c>
      <c r="G462">
        <v>104000</v>
      </c>
      <c r="H462" t="s">
        <v>345</v>
      </c>
      <c r="I462">
        <v>201</v>
      </c>
      <c r="J462" t="s">
        <v>304</v>
      </c>
      <c r="K462" t="s">
        <v>304</v>
      </c>
      <c r="L462" t="s">
        <v>305</v>
      </c>
      <c r="M462">
        <v>43802.239999999998</v>
      </c>
      <c r="P462">
        <v>50000</v>
      </c>
      <c r="R462" s="154"/>
      <c r="S462" s="73">
        <f t="shared" si="49"/>
        <v>4997.8355840000004</v>
      </c>
    </row>
    <row r="463" spans="1:19" ht="15">
      <c r="A463" s="161" t="s">
        <v>296</v>
      </c>
      <c r="B463" t="s">
        <v>377</v>
      </c>
      <c r="C463" t="s">
        <v>271</v>
      </c>
      <c r="D463" t="s">
        <v>327</v>
      </c>
      <c r="E463" t="s">
        <v>368</v>
      </c>
      <c r="F463" t="s">
        <v>301</v>
      </c>
      <c r="G463">
        <v>105003</v>
      </c>
      <c r="H463" t="s">
        <v>346</v>
      </c>
      <c r="I463">
        <v>201</v>
      </c>
      <c r="J463" t="s">
        <v>304</v>
      </c>
      <c r="K463" t="s">
        <v>304</v>
      </c>
      <c r="L463" t="s">
        <v>305</v>
      </c>
      <c r="M463">
        <v>122641.62</v>
      </c>
      <c r="P463">
        <v>0</v>
      </c>
      <c r="R463" s="154"/>
      <c r="S463" s="73">
        <f t="shared" si="49"/>
        <v>13993.408842000001</v>
      </c>
    </row>
    <row r="464" spans="1:19" ht="15">
      <c r="A464" s="161" t="s">
        <v>296</v>
      </c>
      <c r="B464" t="s">
        <v>377</v>
      </c>
      <c r="C464" t="s">
        <v>271</v>
      </c>
      <c r="D464" t="s">
        <v>327</v>
      </c>
      <c r="E464" t="s">
        <v>368</v>
      </c>
      <c r="F464" t="s">
        <v>301</v>
      </c>
      <c r="G464">
        <v>105010</v>
      </c>
      <c r="H464" t="s">
        <v>347</v>
      </c>
      <c r="I464">
        <v>201</v>
      </c>
      <c r="J464" t="s">
        <v>304</v>
      </c>
      <c r="K464" t="s">
        <v>304</v>
      </c>
      <c r="L464" t="s">
        <v>305</v>
      </c>
      <c r="M464">
        <v>4422.54</v>
      </c>
      <c r="P464">
        <v>0</v>
      </c>
      <c r="R464" s="154"/>
      <c r="S464" s="73">
        <f t="shared" si="49"/>
        <v>504.61181400000004</v>
      </c>
    </row>
    <row r="465" spans="1:19" ht="15">
      <c r="A465" s="161" t="s">
        <v>296</v>
      </c>
      <c r="B465" t="s">
        <v>377</v>
      </c>
      <c r="C465" t="s">
        <v>271</v>
      </c>
      <c r="D465" t="s">
        <v>327</v>
      </c>
      <c r="E465" t="s">
        <v>368</v>
      </c>
      <c r="F465" t="s">
        <v>301</v>
      </c>
      <c r="G465">
        <v>105019</v>
      </c>
      <c r="H465" t="s">
        <v>348</v>
      </c>
      <c r="I465">
        <v>201</v>
      </c>
      <c r="J465" t="s">
        <v>304</v>
      </c>
      <c r="K465" t="s">
        <v>304</v>
      </c>
      <c r="L465" t="s">
        <v>305</v>
      </c>
      <c r="M465">
        <v>384.13</v>
      </c>
      <c r="P465">
        <v>0</v>
      </c>
      <c r="R465" s="154"/>
      <c r="S465" s="73">
        <f t="shared" si="49"/>
        <v>43.829233000000002</v>
      </c>
    </row>
    <row r="466" spans="1:19" ht="15">
      <c r="A466" s="161" t="s">
        <v>296</v>
      </c>
      <c r="B466" t="s">
        <v>377</v>
      </c>
      <c r="C466" t="s">
        <v>271</v>
      </c>
      <c r="D466" t="s">
        <v>327</v>
      </c>
      <c r="E466" t="s">
        <v>368</v>
      </c>
      <c r="F466" t="s">
        <v>301</v>
      </c>
      <c r="G466">
        <v>105098</v>
      </c>
      <c r="H466" t="s">
        <v>302</v>
      </c>
      <c r="I466">
        <v>201</v>
      </c>
      <c r="J466" t="s">
        <v>331</v>
      </c>
      <c r="K466" t="s">
        <v>304</v>
      </c>
      <c r="L466" t="s">
        <v>305</v>
      </c>
      <c r="M466">
        <v>-4392</v>
      </c>
      <c r="P466">
        <v>0</v>
      </c>
      <c r="R466" s="154"/>
      <c r="S466" s="73">
        <f t="shared" si="49"/>
        <v>-501.12720000000007</v>
      </c>
    </row>
    <row r="467" spans="1:19" ht="15">
      <c r="A467" s="161" t="s">
        <v>296</v>
      </c>
      <c r="B467" t="s">
        <v>377</v>
      </c>
      <c r="C467" t="s">
        <v>271</v>
      </c>
      <c r="D467" t="s">
        <v>327</v>
      </c>
      <c r="E467" t="s">
        <v>368</v>
      </c>
      <c r="F467" t="s">
        <v>301</v>
      </c>
      <c r="G467">
        <v>105099</v>
      </c>
      <c r="H467" t="s">
        <v>306</v>
      </c>
      <c r="I467">
        <v>201</v>
      </c>
      <c r="J467" t="s">
        <v>332</v>
      </c>
      <c r="K467" t="s">
        <v>304</v>
      </c>
      <c r="L467" t="s">
        <v>305</v>
      </c>
      <c r="M467">
        <v>4392</v>
      </c>
      <c r="P467">
        <v>0</v>
      </c>
      <c r="R467" s="154"/>
      <c r="S467" s="73">
        <f t="shared" si="49"/>
        <v>501.12720000000007</v>
      </c>
    </row>
    <row r="468" spans="1:19" ht="15">
      <c r="A468" s="161" t="s">
        <v>296</v>
      </c>
      <c r="B468" t="s">
        <v>377</v>
      </c>
      <c r="C468" t="s">
        <v>271</v>
      </c>
      <c r="D468" t="s">
        <v>327</v>
      </c>
      <c r="E468" t="s">
        <v>368</v>
      </c>
      <c r="F468" t="s">
        <v>301</v>
      </c>
      <c r="G468" s="213">
        <v>109001</v>
      </c>
      <c r="H468" t="s">
        <v>324</v>
      </c>
      <c r="I468">
        <v>201</v>
      </c>
      <c r="J468" t="s">
        <v>304</v>
      </c>
      <c r="K468" t="s">
        <v>304</v>
      </c>
      <c r="L468" t="s">
        <v>305</v>
      </c>
      <c r="M468">
        <v>488565.46</v>
      </c>
      <c r="P468">
        <v>466000</v>
      </c>
      <c r="Q468" s="124">
        <f t="shared" ref="Q468:Q472" si="50">M468-P468</f>
        <v>22565.460000000021</v>
      </c>
      <c r="R468" s="124">
        <f t="shared" ref="R468:R469" si="51">M468*-1.141</f>
        <v>-557453.18986000004</v>
      </c>
    </row>
    <row r="469" spans="1:19" ht="15">
      <c r="A469" s="161" t="s">
        <v>296</v>
      </c>
      <c r="B469" t="s">
        <v>377</v>
      </c>
      <c r="C469" t="s">
        <v>271</v>
      </c>
      <c r="D469" t="s">
        <v>327</v>
      </c>
      <c r="E469" t="s">
        <v>368</v>
      </c>
      <c r="F469" t="s">
        <v>301</v>
      </c>
      <c r="G469" s="213">
        <v>109001</v>
      </c>
      <c r="H469" t="s">
        <v>324</v>
      </c>
      <c r="I469">
        <v>201</v>
      </c>
      <c r="J469" t="s">
        <v>334</v>
      </c>
      <c r="K469" t="s">
        <v>304</v>
      </c>
      <c r="L469" t="s">
        <v>305</v>
      </c>
      <c r="M469">
        <v>0</v>
      </c>
      <c r="P469">
        <v>0</v>
      </c>
      <c r="Q469" s="124">
        <f t="shared" si="50"/>
        <v>0</v>
      </c>
      <c r="R469" s="124">
        <f t="shared" si="51"/>
        <v>0</v>
      </c>
    </row>
    <row r="470" spans="1:19" ht="15">
      <c r="A470" s="161" t="s">
        <v>296</v>
      </c>
      <c r="B470" t="s">
        <v>377</v>
      </c>
      <c r="C470" t="s">
        <v>271</v>
      </c>
      <c r="D470" t="s">
        <v>327</v>
      </c>
      <c r="E470" t="s">
        <v>368</v>
      </c>
      <c r="F470" t="s">
        <v>301</v>
      </c>
      <c r="G470" s="213">
        <v>109901</v>
      </c>
      <c r="H470" t="s">
        <v>309</v>
      </c>
      <c r="I470">
        <v>201</v>
      </c>
      <c r="J470" t="s">
        <v>304</v>
      </c>
      <c r="K470" t="s">
        <v>304</v>
      </c>
      <c r="L470" t="s">
        <v>305</v>
      </c>
      <c r="M470">
        <v>772003.36</v>
      </c>
      <c r="P470">
        <v>765000</v>
      </c>
      <c r="Q470" s="124">
        <f t="shared" si="50"/>
        <v>7003.359999999986</v>
      </c>
      <c r="R470" s="154"/>
    </row>
    <row r="471" spans="1:19" ht="15">
      <c r="A471" s="161" t="s">
        <v>296</v>
      </c>
      <c r="B471" t="s">
        <v>377</v>
      </c>
      <c r="C471" t="s">
        <v>271</v>
      </c>
      <c r="D471" t="s">
        <v>327</v>
      </c>
      <c r="E471" t="s">
        <v>368</v>
      </c>
      <c r="F471" t="s">
        <v>301</v>
      </c>
      <c r="G471" s="213">
        <v>109901</v>
      </c>
      <c r="H471" t="s">
        <v>309</v>
      </c>
      <c r="I471">
        <v>201</v>
      </c>
      <c r="J471" t="s">
        <v>332</v>
      </c>
      <c r="K471" t="s">
        <v>304</v>
      </c>
      <c r="L471" t="s">
        <v>305</v>
      </c>
      <c r="M471">
        <v>619.32000000000005</v>
      </c>
      <c r="P471">
        <v>0</v>
      </c>
      <c r="Q471" s="124">
        <f t="shared" si="50"/>
        <v>619.32000000000005</v>
      </c>
      <c r="R471" s="154"/>
    </row>
    <row r="472" spans="1:19" ht="15">
      <c r="A472" s="161" t="s">
        <v>296</v>
      </c>
      <c r="B472" t="s">
        <v>377</v>
      </c>
      <c r="C472" t="s">
        <v>271</v>
      </c>
      <c r="D472" t="s">
        <v>327</v>
      </c>
      <c r="E472" t="s">
        <v>368</v>
      </c>
      <c r="F472" t="s">
        <v>301</v>
      </c>
      <c r="G472" s="213">
        <v>109901</v>
      </c>
      <c r="H472" t="s">
        <v>309</v>
      </c>
      <c r="I472">
        <v>201</v>
      </c>
      <c r="J472" t="s">
        <v>334</v>
      </c>
      <c r="K472" t="s">
        <v>304</v>
      </c>
      <c r="L472" t="s">
        <v>305</v>
      </c>
      <c r="M472">
        <v>0</v>
      </c>
      <c r="P472">
        <v>0</v>
      </c>
      <c r="Q472" s="124">
        <f t="shared" si="50"/>
        <v>0</v>
      </c>
      <c r="R472" s="154"/>
    </row>
    <row r="473" spans="1:19" ht="15">
      <c r="A473" s="161" t="s">
        <v>296</v>
      </c>
      <c r="B473" t="s">
        <v>378</v>
      </c>
      <c r="C473" t="s">
        <v>272</v>
      </c>
      <c r="D473" t="s">
        <v>327</v>
      </c>
      <c r="E473" t="s">
        <v>368</v>
      </c>
      <c r="F473" t="s">
        <v>301</v>
      </c>
      <c r="G473">
        <v>101001</v>
      </c>
      <c r="H473" t="s">
        <v>329</v>
      </c>
      <c r="I473">
        <v>201</v>
      </c>
      <c r="J473" t="s">
        <v>304</v>
      </c>
      <c r="K473" t="s">
        <v>304</v>
      </c>
      <c r="L473" t="s">
        <v>305</v>
      </c>
      <c r="M473">
        <v>9405195.9000000004</v>
      </c>
      <c r="P473">
        <v>9537000</v>
      </c>
      <c r="R473" s="154"/>
      <c r="S473" s="73">
        <f t="shared" ref="S473:S486" si="52">M473*$S$7*1.141</f>
        <v>1073132.85219</v>
      </c>
    </row>
    <row r="474" spans="1:19" ht="15">
      <c r="A474" s="161" t="s">
        <v>296</v>
      </c>
      <c r="B474" t="s">
        <v>378</v>
      </c>
      <c r="C474" t="s">
        <v>272</v>
      </c>
      <c r="D474" t="s">
        <v>327</v>
      </c>
      <c r="E474" t="s">
        <v>368</v>
      </c>
      <c r="F474" t="s">
        <v>301</v>
      </c>
      <c r="G474">
        <v>101039</v>
      </c>
      <c r="H474" t="s">
        <v>312</v>
      </c>
      <c r="I474">
        <v>201</v>
      </c>
      <c r="J474" t="s">
        <v>304</v>
      </c>
      <c r="K474" t="s">
        <v>304</v>
      </c>
      <c r="L474" t="s">
        <v>305</v>
      </c>
      <c r="M474">
        <v>250021.65</v>
      </c>
      <c r="P474">
        <v>0</v>
      </c>
      <c r="R474" s="154"/>
      <c r="S474" s="73">
        <f t="shared" si="52"/>
        <v>28527.470265</v>
      </c>
    </row>
    <row r="475" spans="1:19" ht="15">
      <c r="A475" s="161" t="s">
        <v>296</v>
      </c>
      <c r="B475" t="s">
        <v>378</v>
      </c>
      <c r="C475" t="s">
        <v>272</v>
      </c>
      <c r="D475" t="s">
        <v>327</v>
      </c>
      <c r="E475" t="s">
        <v>368</v>
      </c>
      <c r="F475" t="s">
        <v>301</v>
      </c>
      <c r="G475">
        <v>102002</v>
      </c>
      <c r="H475" t="s">
        <v>338</v>
      </c>
      <c r="I475">
        <v>201</v>
      </c>
      <c r="J475" t="s">
        <v>304</v>
      </c>
      <c r="K475" t="s">
        <v>304</v>
      </c>
      <c r="L475" t="s">
        <v>305</v>
      </c>
      <c r="M475">
        <v>7190.38</v>
      </c>
      <c r="P475">
        <v>0</v>
      </c>
      <c r="R475" s="154"/>
      <c r="S475" s="73">
        <f t="shared" si="52"/>
        <v>820.42235800000003</v>
      </c>
    </row>
    <row r="476" spans="1:19" ht="15">
      <c r="A476" s="161" t="s">
        <v>296</v>
      </c>
      <c r="B476" t="s">
        <v>378</v>
      </c>
      <c r="C476" t="s">
        <v>272</v>
      </c>
      <c r="D476" t="s">
        <v>327</v>
      </c>
      <c r="E476" t="s">
        <v>368</v>
      </c>
      <c r="F476" t="s">
        <v>301</v>
      </c>
      <c r="G476">
        <v>102003</v>
      </c>
      <c r="H476" t="s">
        <v>339</v>
      </c>
      <c r="I476">
        <v>201</v>
      </c>
      <c r="J476" t="s">
        <v>304</v>
      </c>
      <c r="K476" t="s">
        <v>304</v>
      </c>
      <c r="L476" t="s">
        <v>305</v>
      </c>
      <c r="M476">
        <v>175195.9</v>
      </c>
      <c r="P476">
        <v>299000</v>
      </c>
      <c r="R476" s="154"/>
      <c r="S476" s="73">
        <f t="shared" si="52"/>
        <v>19989.852190000001</v>
      </c>
    </row>
    <row r="477" spans="1:19" ht="15">
      <c r="A477" s="161" t="s">
        <v>296</v>
      </c>
      <c r="B477" t="s">
        <v>378</v>
      </c>
      <c r="C477" t="s">
        <v>272</v>
      </c>
      <c r="D477" t="s">
        <v>327</v>
      </c>
      <c r="E477" t="s">
        <v>368</v>
      </c>
      <c r="F477" t="s">
        <v>301</v>
      </c>
      <c r="G477">
        <v>102005</v>
      </c>
      <c r="H477" t="s">
        <v>340</v>
      </c>
      <c r="I477">
        <v>201</v>
      </c>
      <c r="J477" t="s">
        <v>304</v>
      </c>
      <c r="K477" t="s">
        <v>304</v>
      </c>
      <c r="L477" t="s">
        <v>305</v>
      </c>
      <c r="M477">
        <v>121457.78</v>
      </c>
      <c r="P477">
        <v>0</v>
      </c>
      <c r="R477" s="154"/>
      <c r="S477" s="73">
        <f t="shared" si="52"/>
        <v>13858.332698</v>
      </c>
    </row>
    <row r="478" spans="1:19" ht="15">
      <c r="A478" s="161" t="s">
        <v>296</v>
      </c>
      <c r="B478" t="s">
        <v>378</v>
      </c>
      <c r="C478" t="s">
        <v>272</v>
      </c>
      <c r="D478" t="s">
        <v>327</v>
      </c>
      <c r="E478" t="s">
        <v>368</v>
      </c>
      <c r="F478" t="s">
        <v>301</v>
      </c>
      <c r="G478">
        <v>102062</v>
      </c>
      <c r="H478" t="s">
        <v>341</v>
      </c>
      <c r="I478">
        <v>201</v>
      </c>
      <c r="J478" t="s">
        <v>304</v>
      </c>
      <c r="K478" t="s">
        <v>304</v>
      </c>
      <c r="L478" t="s">
        <v>305</v>
      </c>
      <c r="M478">
        <v>5184.53</v>
      </c>
      <c r="P478">
        <v>0</v>
      </c>
      <c r="R478" s="154"/>
      <c r="S478" s="73">
        <f t="shared" si="52"/>
        <v>591.55487299999993</v>
      </c>
    </row>
    <row r="479" spans="1:19" ht="15">
      <c r="A479" s="161" t="s">
        <v>296</v>
      </c>
      <c r="B479" t="s">
        <v>378</v>
      </c>
      <c r="C479" t="s">
        <v>272</v>
      </c>
      <c r="D479" t="s">
        <v>327</v>
      </c>
      <c r="E479" t="s">
        <v>368</v>
      </c>
      <c r="F479" t="s">
        <v>301</v>
      </c>
      <c r="G479">
        <v>103001</v>
      </c>
      <c r="H479" t="s">
        <v>342</v>
      </c>
      <c r="I479">
        <v>201</v>
      </c>
      <c r="J479" t="s">
        <v>304</v>
      </c>
      <c r="K479" t="s">
        <v>304</v>
      </c>
      <c r="L479" t="s">
        <v>305</v>
      </c>
      <c r="M479">
        <v>54397.83</v>
      </c>
      <c r="P479">
        <v>0</v>
      </c>
      <c r="R479" s="154"/>
      <c r="S479" s="73">
        <f t="shared" si="52"/>
        <v>6206.7924030000004</v>
      </c>
    </row>
    <row r="480" spans="1:19" ht="15">
      <c r="A480" s="161" t="s">
        <v>296</v>
      </c>
      <c r="B480" t="s">
        <v>378</v>
      </c>
      <c r="C480" t="s">
        <v>272</v>
      </c>
      <c r="D480" t="s">
        <v>327</v>
      </c>
      <c r="E480" t="s">
        <v>368</v>
      </c>
      <c r="F480" t="s">
        <v>301</v>
      </c>
      <c r="G480">
        <v>103062</v>
      </c>
      <c r="H480" t="s">
        <v>343</v>
      </c>
      <c r="I480">
        <v>201</v>
      </c>
      <c r="J480" t="s">
        <v>304</v>
      </c>
      <c r="K480" t="s">
        <v>304</v>
      </c>
      <c r="L480" t="s">
        <v>305</v>
      </c>
      <c r="M480">
        <v>322.56</v>
      </c>
      <c r="P480">
        <v>0</v>
      </c>
      <c r="R480" s="154"/>
      <c r="S480" s="73">
        <f t="shared" si="52"/>
        <v>36.804096000000001</v>
      </c>
    </row>
    <row r="481" spans="1:19" ht="15">
      <c r="A481" s="161" t="s">
        <v>296</v>
      </c>
      <c r="B481" t="s">
        <v>378</v>
      </c>
      <c r="C481" t="s">
        <v>272</v>
      </c>
      <c r="D481" t="s">
        <v>327</v>
      </c>
      <c r="E481" t="s">
        <v>368</v>
      </c>
      <c r="F481" t="s">
        <v>301</v>
      </c>
      <c r="G481">
        <v>103069</v>
      </c>
      <c r="H481" t="s">
        <v>344</v>
      </c>
      <c r="I481">
        <v>201</v>
      </c>
      <c r="J481" t="s">
        <v>304</v>
      </c>
      <c r="K481" t="s">
        <v>304</v>
      </c>
      <c r="L481" t="s">
        <v>305</v>
      </c>
      <c r="M481">
        <v>13265.5</v>
      </c>
      <c r="P481">
        <v>0</v>
      </c>
      <c r="R481" s="154"/>
      <c r="S481" s="73">
        <f t="shared" si="52"/>
        <v>1513.5935500000003</v>
      </c>
    </row>
    <row r="482" spans="1:19" ht="15">
      <c r="A482" s="161" t="s">
        <v>296</v>
      </c>
      <c r="B482" t="s">
        <v>378</v>
      </c>
      <c r="C482" t="s">
        <v>272</v>
      </c>
      <c r="D482" t="s">
        <v>327</v>
      </c>
      <c r="E482" t="s">
        <v>368</v>
      </c>
      <c r="F482" t="s">
        <v>301</v>
      </c>
      <c r="G482">
        <v>104000</v>
      </c>
      <c r="H482" t="s">
        <v>345</v>
      </c>
      <c r="I482">
        <v>201</v>
      </c>
      <c r="J482" t="s">
        <v>304</v>
      </c>
      <c r="K482" t="s">
        <v>304</v>
      </c>
      <c r="L482" t="s">
        <v>305</v>
      </c>
      <c r="M482">
        <v>92927.24</v>
      </c>
      <c r="P482">
        <v>78000</v>
      </c>
      <c r="R482" s="154"/>
      <c r="S482" s="73">
        <f t="shared" si="52"/>
        <v>10602.998084000001</v>
      </c>
    </row>
    <row r="483" spans="1:19" ht="15">
      <c r="A483" s="161" t="s">
        <v>296</v>
      </c>
      <c r="B483" t="s">
        <v>378</v>
      </c>
      <c r="C483" t="s">
        <v>272</v>
      </c>
      <c r="D483" t="s">
        <v>327</v>
      </c>
      <c r="E483" t="s">
        <v>368</v>
      </c>
      <c r="F483" t="s">
        <v>301</v>
      </c>
      <c r="G483">
        <v>105003</v>
      </c>
      <c r="H483" t="s">
        <v>346</v>
      </c>
      <c r="I483">
        <v>201</v>
      </c>
      <c r="J483" t="s">
        <v>304</v>
      </c>
      <c r="K483" t="s">
        <v>304</v>
      </c>
      <c r="L483" t="s">
        <v>305</v>
      </c>
      <c r="M483">
        <v>187481.2</v>
      </c>
      <c r="P483">
        <v>0</v>
      </c>
      <c r="R483" s="154"/>
      <c r="S483" s="73">
        <f t="shared" si="52"/>
        <v>21391.604920000002</v>
      </c>
    </row>
    <row r="484" spans="1:19" ht="15">
      <c r="A484" s="161" t="s">
        <v>296</v>
      </c>
      <c r="B484" t="s">
        <v>378</v>
      </c>
      <c r="C484" t="s">
        <v>272</v>
      </c>
      <c r="D484" t="s">
        <v>327</v>
      </c>
      <c r="E484" t="s">
        <v>368</v>
      </c>
      <c r="F484" t="s">
        <v>301</v>
      </c>
      <c r="G484">
        <v>105019</v>
      </c>
      <c r="H484" t="s">
        <v>348</v>
      </c>
      <c r="I484">
        <v>201</v>
      </c>
      <c r="J484" t="s">
        <v>304</v>
      </c>
      <c r="K484" t="s">
        <v>304</v>
      </c>
      <c r="L484" t="s">
        <v>305</v>
      </c>
      <c r="M484">
        <v>553</v>
      </c>
      <c r="P484">
        <v>0</v>
      </c>
      <c r="R484" s="154"/>
      <c r="S484" s="73">
        <f t="shared" si="52"/>
        <v>63.097300000000004</v>
      </c>
    </row>
    <row r="485" spans="1:19" ht="15">
      <c r="A485" s="161" t="s">
        <v>296</v>
      </c>
      <c r="B485" t="s">
        <v>378</v>
      </c>
      <c r="C485" t="s">
        <v>272</v>
      </c>
      <c r="D485" t="s">
        <v>327</v>
      </c>
      <c r="E485" t="s">
        <v>368</v>
      </c>
      <c r="F485" t="s">
        <v>301</v>
      </c>
      <c r="G485">
        <v>105098</v>
      </c>
      <c r="H485" t="s">
        <v>302</v>
      </c>
      <c r="I485">
        <v>201</v>
      </c>
      <c r="J485" t="s">
        <v>331</v>
      </c>
      <c r="K485" t="s">
        <v>304</v>
      </c>
      <c r="L485" t="s">
        <v>305</v>
      </c>
      <c r="M485">
        <v>-4392</v>
      </c>
      <c r="P485">
        <v>0</v>
      </c>
      <c r="R485" s="154"/>
      <c r="S485" s="73">
        <f t="shared" si="52"/>
        <v>-501.12720000000007</v>
      </c>
    </row>
    <row r="486" spans="1:19" ht="15">
      <c r="A486" s="161" t="s">
        <v>296</v>
      </c>
      <c r="B486" t="s">
        <v>378</v>
      </c>
      <c r="C486" t="s">
        <v>272</v>
      </c>
      <c r="D486" t="s">
        <v>327</v>
      </c>
      <c r="E486" t="s">
        <v>368</v>
      </c>
      <c r="F486" t="s">
        <v>301</v>
      </c>
      <c r="G486">
        <v>105099</v>
      </c>
      <c r="H486" t="s">
        <v>306</v>
      </c>
      <c r="I486">
        <v>201</v>
      </c>
      <c r="J486" t="s">
        <v>332</v>
      </c>
      <c r="K486" t="s">
        <v>304</v>
      </c>
      <c r="L486" t="s">
        <v>305</v>
      </c>
      <c r="M486">
        <v>4392</v>
      </c>
      <c r="P486">
        <v>0</v>
      </c>
      <c r="R486" s="154"/>
      <c r="S486" s="73">
        <f t="shared" si="52"/>
        <v>501.12720000000007</v>
      </c>
    </row>
    <row r="487" spans="1:19" ht="15">
      <c r="A487" s="161" t="s">
        <v>296</v>
      </c>
      <c r="B487" t="s">
        <v>378</v>
      </c>
      <c r="C487" t="s">
        <v>272</v>
      </c>
      <c r="D487" t="s">
        <v>327</v>
      </c>
      <c r="E487" t="s">
        <v>368</v>
      </c>
      <c r="F487" t="s">
        <v>301</v>
      </c>
      <c r="G487" s="213">
        <v>109001</v>
      </c>
      <c r="H487" t="s">
        <v>324</v>
      </c>
      <c r="I487">
        <v>201</v>
      </c>
      <c r="J487" t="s">
        <v>304</v>
      </c>
      <c r="K487" t="s">
        <v>304</v>
      </c>
      <c r="L487" t="s">
        <v>305</v>
      </c>
      <c r="M487">
        <v>946884.79</v>
      </c>
      <c r="P487">
        <v>931000</v>
      </c>
      <c r="Q487" s="124">
        <f t="shared" ref="Q487:Q489" si="53">M487-P487</f>
        <v>15884.790000000037</v>
      </c>
      <c r="R487" s="124">
        <f>M487*-1.141</f>
        <v>-1080395.5453900001</v>
      </c>
    </row>
    <row r="488" spans="1:19" ht="15">
      <c r="A488" s="161" t="s">
        <v>296</v>
      </c>
      <c r="B488" t="s">
        <v>378</v>
      </c>
      <c r="C488" t="s">
        <v>272</v>
      </c>
      <c r="D488" t="s">
        <v>327</v>
      </c>
      <c r="E488" t="s">
        <v>368</v>
      </c>
      <c r="F488" t="s">
        <v>301</v>
      </c>
      <c r="G488" s="213">
        <v>109901</v>
      </c>
      <c r="H488" t="s">
        <v>309</v>
      </c>
      <c r="I488">
        <v>201</v>
      </c>
      <c r="J488" t="s">
        <v>304</v>
      </c>
      <c r="K488" t="s">
        <v>304</v>
      </c>
      <c r="L488" t="s">
        <v>305</v>
      </c>
      <c r="M488">
        <v>1518508.48</v>
      </c>
      <c r="P488">
        <v>1530000</v>
      </c>
      <c r="Q488" s="124">
        <f t="shared" si="53"/>
        <v>-11491.520000000019</v>
      </c>
      <c r="R488" s="154"/>
    </row>
    <row r="489" spans="1:19" ht="15">
      <c r="A489" s="161" t="s">
        <v>296</v>
      </c>
      <c r="B489" t="s">
        <v>378</v>
      </c>
      <c r="C489" t="s">
        <v>272</v>
      </c>
      <c r="D489" t="s">
        <v>327</v>
      </c>
      <c r="E489" t="s">
        <v>368</v>
      </c>
      <c r="F489" t="s">
        <v>301</v>
      </c>
      <c r="G489" s="213">
        <v>109901</v>
      </c>
      <c r="H489" t="s">
        <v>309</v>
      </c>
      <c r="I489">
        <v>201</v>
      </c>
      <c r="J489" t="s">
        <v>332</v>
      </c>
      <c r="K489" t="s">
        <v>304</v>
      </c>
      <c r="L489" t="s">
        <v>305</v>
      </c>
      <c r="M489">
        <v>619.32000000000005</v>
      </c>
      <c r="P489">
        <v>0</v>
      </c>
      <c r="Q489" s="124">
        <f t="shared" si="53"/>
        <v>619.32000000000005</v>
      </c>
      <c r="R489" s="154"/>
    </row>
    <row r="490" spans="1:19" ht="15">
      <c r="A490" s="161" t="s">
        <v>296</v>
      </c>
      <c r="B490" t="s">
        <v>379</v>
      </c>
      <c r="C490" t="s">
        <v>273</v>
      </c>
      <c r="D490" t="s">
        <v>327</v>
      </c>
      <c r="E490" t="s">
        <v>368</v>
      </c>
      <c r="F490" t="s">
        <v>301</v>
      </c>
      <c r="G490">
        <v>101001</v>
      </c>
      <c r="H490" t="s">
        <v>329</v>
      </c>
      <c r="I490">
        <v>201</v>
      </c>
      <c r="J490" t="s">
        <v>304</v>
      </c>
      <c r="K490" t="s">
        <v>304</v>
      </c>
      <c r="L490" t="s">
        <v>305</v>
      </c>
      <c r="M490">
        <v>8708583.8699999992</v>
      </c>
      <c r="P490">
        <v>9161000</v>
      </c>
      <c r="R490" s="154"/>
      <c r="S490" s="73">
        <f t="shared" ref="S490:S513" si="54">M490*$S$7*1.141</f>
        <v>993649.419567</v>
      </c>
    </row>
    <row r="491" spans="1:19" ht="15">
      <c r="A491" s="161" t="s">
        <v>296</v>
      </c>
      <c r="B491" t="s">
        <v>379</v>
      </c>
      <c r="C491" t="s">
        <v>273</v>
      </c>
      <c r="D491" t="s">
        <v>327</v>
      </c>
      <c r="E491" t="s">
        <v>368</v>
      </c>
      <c r="F491" t="s">
        <v>301</v>
      </c>
      <c r="G491">
        <v>101002</v>
      </c>
      <c r="H491" t="s">
        <v>335</v>
      </c>
      <c r="I491">
        <v>201</v>
      </c>
      <c r="J491" t="s">
        <v>304</v>
      </c>
      <c r="K491" t="s">
        <v>304</v>
      </c>
      <c r="L491" t="s">
        <v>305</v>
      </c>
      <c r="M491">
        <v>56612.04</v>
      </c>
      <c r="P491">
        <v>0</v>
      </c>
      <c r="R491" s="154"/>
      <c r="S491" s="73">
        <f t="shared" si="54"/>
        <v>6459.4337640000012</v>
      </c>
    </row>
    <row r="492" spans="1:19" ht="15">
      <c r="A492" s="161" t="s">
        <v>296</v>
      </c>
      <c r="B492" t="s">
        <v>379</v>
      </c>
      <c r="C492" t="s">
        <v>273</v>
      </c>
      <c r="D492" t="s">
        <v>327</v>
      </c>
      <c r="E492" t="s">
        <v>368</v>
      </c>
      <c r="F492" t="s">
        <v>301</v>
      </c>
      <c r="G492">
        <v>101039</v>
      </c>
      <c r="H492" t="s">
        <v>312</v>
      </c>
      <c r="I492">
        <v>201</v>
      </c>
      <c r="J492" t="s">
        <v>304</v>
      </c>
      <c r="K492" t="s">
        <v>304</v>
      </c>
      <c r="L492" t="s">
        <v>305</v>
      </c>
      <c r="M492">
        <v>246939.8</v>
      </c>
      <c r="P492">
        <v>0</v>
      </c>
      <c r="R492" s="154"/>
      <c r="S492" s="73">
        <f t="shared" si="54"/>
        <v>28175.831180000001</v>
      </c>
    </row>
    <row r="493" spans="1:19" ht="15">
      <c r="A493" s="161" t="s">
        <v>296</v>
      </c>
      <c r="B493" t="s">
        <v>379</v>
      </c>
      <c r="C493" t="s">
        <v>273</v>
      </c>
      <c r="D493" t="s">
        <v>327</v>
      </c>
      <c r="E493" t="s">
        <v>368</v>
      </c>
      <c r="F493" t="s">
        <v>301</v>
      </c>
      <c r="G493">
        <v>101039</v>
      </c>
      <c r="H493" t="s">
        <v>312</v>
      </c>
      <c r="I493">
        <v>201</v>
      </c>
      <c r="J493" t="s">
        <v>350</v>
      </c>
      <c r="K493" t="s">
        <v>304</v>
      </c>
      <c r="L493" t="s">
        <v>305</v>
      </c>
      <c r="M493">
        <v>48571.61</v>
      </c>
      <c r="P493">
        <v>50000</v>
      </c>
      <c r="R493" s="154"/>
      <c r="S493" s="73">
        <f t="shared" si="54"/>
        <v>5542.0207010000004</v>
      </c>
    </row>
    <row r="494" spans="1:19" ht="15">
      <c r="A494" s="161" t="s">
        <v>296</v>
      </c>
      <c r="B494" t="s">
        <v>379</v>
      </c>
      <c r="C494" t="s">
        <v>273</v>
      </c>
      <c r="D494" t="s">
        <v>327</v>
      </c>
      <c r="E494" t="s">
        <v>368</v>
      </c>
      <c r="F494" t="s">
        <v>301</v>
      </c>
      <c r="G494">
        <v>102002</v>
      </c>
      <c r="H494" t="s">
        <v>338</v>
      </c>
      <c r="I494">
        <v>201</v>
      </c>
      <c r="J494" t="s">
        <v>304</v>
      </c>
      <c r="K494" t="s">
        <v>304</v>
      </c>
      <c r="L494" t="s">
        <v>305</v>
      </c>
      <c r="M494">
        <v>25371.09</v>
      </c>
      <c r="P494">
        <v>0</v>
      </c>
      <c r="R494" s="154"/>
      <c r="S494" s="73">
        <f t="shared" si="54"/>
        <v>2894.8413690000007</v>
      </c>
    </row>
    <row r="495" spans="1:19" ht="15">
      <c r="A495" s="161" t="s">
        <v>296</v>
      </c>
      <c r="B495" t="s">
        <v>379</v>
      </c>
      <c r="C495" t="s">
        <v>273</v>
      </c>
      <c r="D495" t="s">
        <v>327</v>
      </c>
      <c r="E495" t="s">
        <v>368</v>
      </c>
      <c r="F495" t="s">
        <v>301</v>
      </c>
      <c r="G495">
        <v>102002</v>
      </c>
      <c r="H495" t="s">
        <v>338</v>
      </c>
      <c r="I495">
        <v>201</v>
      </c>
      <c r="J495" t="s">
        <v>352</v>
      </c>
      <c r="K495" t="s">
        <v>304</v>
      </c>
      <c r="L495" t="s">
        <v>305</v>
      </c>
      <c r="M495">
        <v>7712.72</v>
      </c>
      <c r="P495">
        <v>0</v>
      </c>
      <c r="R495" s="154"/>
      <c r="S495" s="73">
        <f t="shared" si="54"/>
        <v>880.02135200000009</v>
      </c>
    </row>
    <row r="496" spans="1:19" ht="15">
      <c r="A496" s="161" t="s">
        <v>296</v>
      </c>
      <c r="B496" t="s">
        <v>379</v>
      </c>
      <c r="C496" t="s">
        <v>273</v>
      </c>
      <c r="D496" t="s">
        <v>327</v>
      </c>
      <c r="E496" t="s">
        <v>368</v>
      </c>
      <c r="F496" t="s">
        <v>301</v>
      </c>
      <c r="G496">
        <v>102003</v>
      </c>
      <c r="H496" t="s">
        <v>339</v>
      </c>
      <c r="I496">
        <v>201</v>
      </c>
      <c r="J496" t="s">
        <v>304</v>
      </c>
      <c r="K496" t="s">
        <v>304</v>
      </c>
      <c r="L496" t="s">
        <v>305</v>
      </c>
      <c r="M496">
        <v>776381.82</v>
      </c>
      <c r="P496">
        <v>300000</v>
      </c>
      <c r="R496" s="154"/>
      <c r="S496" s="73">
        <f t="shared" si="54"/>
        <v>88585.165661999999</v>
      </c>
    </row>
    <row r="497" spans="1:19" ht="15">
      <c r="A497" s="161" t="s">
        <v>296</v>
      </c>
      <c r="B497" t="s">
        <v>379</v>
      </c>
      <c r="C497" t="s">
        <v>273</v>
      </c>
      <c r="D497" t="s">
        <v>327</v>
      </c>
      <c r="E497" t="s">
        <v>368</v>
      </c>
      <c r="F497" t="s">
        <v>301</v>
      </c>
      <c r="G497">
        <v>102005</v>
      </c>
      <c r="H497" t="s">
        <v>340</v>
      </c>
      <c r="I497">
        <v>201</v>
      </c>
      <c r="J497" t="s">
        <v>304</v>
      </c>
      <c r="K497" t="s">
        <v>304</v>
      </c>
      <c r="L497" t="s">
        <v>305</v>
      </c>
      <c r="M497">
        <v>155848.1</v>
      </c>
      <c r="P497">
        <v>36000</v>
      </c>
      <c r="R497" s="154"/>
      <c r="S497" s="73">
        <f t="shared" si="54"/>
        <v>17782.268210000002</v>
      </c>
    </row>
    <row r="498" spans="1:19" ht="15">
      <c r="A498" s="161" t="s">
        <v>296</v>
      </c>
      <c r="B498" t="s">
        <v>379</v>
      </c>
      <c r="C498" t="s">
        <v>273</v>
      </c>
      <c r="D498" t="s">
        <v>327</v>
      </c>
      <c r="E498" t="s">
        <v>368</v>
      </c>
      <c r="F498" t="s">
        <v>301</v>
      </c>
      <c r="G498">
        <v>102062</v>
      </c>
      <c r="H498" t="s">
        <v>341</v>
      </c>
      <c r="I498">
        <v>201</v>
      </c>
      <c r="J498" t="s">
        <v>304</v>
      </c>
      <c r="K498" t="s">
        <v>304</v>
      </c>
      <c r="L498" t="s">
        <v>305</v>
      </c>
      <c r="M498">
        <v>4916.71</v>
      </c>
      <c r="P498">
        <v>0</v>
      </c>
      <c r="R498" s="154"/>
      <c r="S498" s="73">
        <f t="shared" si="54"/>
        <v>560.99661100000003</v>
      </c>
    </row>
    <row r="499" spans="1:19" ht="15">
      <c r="A499" s="161" t="s">
        <v>296</v>
      </c>
      <c r="B499" t="s">
        <v>379</v>
      </c>
      <c r="C499" t="s">
        <v>273</v>
      </c>
      <c r="D499" t="s">
        <v>327</v>
      </c>
      <c r="E499" t="s">
        <v>368</v>
      </c>
      <c r="F499" t="s">
        <v>301</v>
      </c>
      <c r="G499">
        <v>102062</v>
      </c>
      <c r="H499" t="s">
        <v>341</v>
      </c>
      <c r="I499">
        <v>201</v>
      </c>
      <c r="J499" t="s">
        <v>352</v>
      </c>
      <c r="K499" t="s">
        <v>304</v>
      </c>
      <c r="L499" t="s">
        <v>305</v>
      </c>
      <c r="M499">
        <v>215.04</v>
      </c>
      <c r="P499">
        <v>0</v>
      </c>
      <c r="R499" s="154"/>
      <c r="S499" s="73">
        <f t="shared" si="54"/>
        <v>24.536064000000003</v>
      </c>
    </row>
    <row r="500" spans="1:19" ht="15">
      <c r="A500" s="161" t="s">
        <v>296</v>
      </c>
      <c r="B500" t="s">
        <v>379</v>
      </c>
      <c r="C500" t="s">
        <v>273</v>
      </c>
      <c r="D500" t="s">
        <v>327</v>
      </c>
      <c r="E500" t="s">
        <v>368</v>
      </c>
      <c r="F500" t="s">
        <v>301</v>
      </c>
      <c r="G500">
        <v>103001</v>
      </c>
      <c r="H500" t="s">
        <v>342</v>
      </c>
      <c r="I500">
        <v>201</v>
      </c>
      <c r="J500" t="s">
        <v>304</v>
      </c>
      <c r="K500" t="s">
        <v>304</v>
      </c>
      <c r="L500" t="s">
        <v>305</v>
      </c>
      <c r="M500">
        <v>16869.310000000001</v>
      </c>
      <c r="P500">
        <v>0</v>
      </c>
      <c r="R500" s="154"/>
      <c r="S500" s="73">
        <f t="shared" si="54"/>
        <v>1924.7882710000003</v>
      </c>
    </row>
    <row r="501" spans="1:19" ht="15">
      <c r="A501" s="161" t="s">
        <v>296</v>
      </c>
      <c r="B501" t="s">
        <v>379</v>
      </c>
      <c r="C501" t="s">
        <v>273</v>
      </c>
      <c r="D501" t="s">
        <v>327</v>
      </c>
      <c r="E501" t="s">
        <v>368</v>
      </c>
      <c r="F501" t="s">
        <v>301</v>
      </c>
      <c r="G501">
        <v>103001</v>
      </c>
      <c r="H501" t="s">
        <v>342</v>
      </c>
      <c r="I501">
        <v>201</v>
      </c>
      <c r="J501" t="s">
        <v>334</v>
      </c>
      <c r="K501" t="s">
        <v>304</v>
      </c>
      <c r="L501" t="s">
        <v>305</v>
      </c>
      <c r="M501">
        <v>0</v>
      </c>
      <c r="P501">
        <v>0</v>
      </c>
      <c r="R501" s="154"/>
      <c r="S501" s="73">
        <f t="shared" si="54"/>
        <v>0</v>
      </c>
    </row>
    <row r="502" spans="1:19" ht="15">
      <c r="A502" s="161" t="s">
        <v>296</v>
      </c>
      <c r="B502" t="s">
        <v>379</v>
      </c>
      <c r="C502" t="s">
        <v>273</v>
      </c>
      <c r="D502" t="s">
        <v>327</v>
      </c>
      <c r="E502" t="s">
        <v>368</v>
      </c>
      <c r="F502" t="s">
        <v>301</v>
      </c>
      <c r="G502">
        <v>103001</v>
      </c>
      <c r="H502" t="s">
        <v>342</v>
      </c>
      <c r="I502">
        <v>201</v>
      </c>
      <c r="J502" t="s">
        <v>357</v>
      </c>
      <c r="K502" t="s">
        <v>304</v>
      </c>
      <c r="L502" t="s">
        <v>305</v>
      </c>
      <c r="M502">
        <v>7900.78</v>
      </c>
      <c r="P502">
        <v>0</v>
      </c>
      <c r="R502" s="154"/>
      <c r="S502" s="73">
        <f t="shared" si="54"/>
        <v>901.47899799999993</v>
      </c>
    </row>
    <row r="503" spans="1:19" ht="15">
      <c r="A503" s="161" t="s">
        <v>296</v>
      </c>
      <c r="B503" t="s">
        <v>379</v>
      </c>
      <c r="C503" t="s">
        <v>273</v>
      </c>
      <c r="D503" t="s">
        <v>327</v>
      </c>
      <c r="E503" t="s">
        <v>368</v>
      </c>
      <c r="F503" t="s">
        <v>301</v>
      </c>
      <c r="G503">
        <v>103001</v>
      </c>
      <c r="H503" t="s">
        <v>342</v>
      </c>
      <c r="I503">
        <v>201</v>
      </c>
      <c r="J503" t="s">
        <v>352</v>
      </c>
      <c r="K503" t="s">
        <v>304</v>
      </c>
      <c r="L503" t="s">
        <v>305</v>
      </c>
      <c r="M503">
        <v>19883.46</v>
      </c>
      <c r="P503">
        <v>0</v>
      </c>
      <c r="R503" s="154"/>
      <c r="S503" s="73">
        <f t="shared" si="54"/>
        <v>2268.7027859999998</v>
      </c>
    </row>
    <row r="504" spans="1:19" ht="15">
      <c r="A504" s="161" t="s">
        <v>296</v>
      </c>
      <c r="B504" t="s">
        <v>379</v>
      </c>
      <c r="C504" t="s">
        <v>273</v>
      </c>
      <c r="D504" t="s">
        <v>327</v>
      </c>
      <c r="E504" t="s">
        <v>368</v>
      </c>
      <c r="F504" t="s">
        <v>301</v>
      </c>
      <c r="G504">
        <v>103062</v>
      </c>
      <c r="H504" t="s">
        <v>343</v>
      </c>
      <c r="I504">
        <v>201</v>
      </c>
      <c r="J504" t="s">
        <v>304</v>
      </c>
      <c r="K504" t="s">
        <v>304</v>
      </c>
      <c r="L504" t="s">
        <v>305</v>
      </c>
      <c r="M504">
        <v>716.8</v>
      </c>
      <c r="P504">
        <v>0</v>
      </c>
      <c r="R504" s="154"/>
      <c r="S504" s="73">
        <f t="shared" si="54"/>
        <v>81.786879999999996</v>
      </c>
    </row>
    <row r="505" spans="1:19" ht="15">
      <c r="A505" s="161" t="s">
        <v>296</v>
      </c>
      <c r="B505" t="s">
        <v>379</v>
      </c>
      <c r="C505" t="s">
        <v>273</v>
      </c>
      <c r="D505" t="s">
        <v>327</v>
      </c>
      <c r="E505" t="s">
        <v>368</v>
      </c>
      <c r="F505" t="s">
        <v>301</v>
      </c>
      <c r="G505">
        <v>103069</v>
      </c>
      <c r="H505" t="s">
        <v>344</v>
      </c>
      <c r="I505">
        <v>201</v>
      </c>
      <c r="J505" t="s">
        <v>304</v>
      </c>
      <c r="K505" t="s">
        <v>304</v>
      </c>
      <c r="L505" t="s">
        <v>305</v>
      </c>
      <c r="M505">
        <v>8093.34</v>
      </c>
      <c r="P505">
        <v>0</v>
      </c>
      <c r="R505" s="154"/>
      <c r="S505" s="73">
        <f t="shared" si="54"/>
        <v>923.45009400000004</v>
      </c>
    </row>
    <row r="506" spans="1:19" ht="15">
      <c r="A506" s="161" t="s">
        <v>296</v>
      </c>
      <c r="B506" t="s">
        <v>379</v>
      </c>
      <c r="C506" t="s">
        <v>273</v>
      </c>
      <c r="D506" t="s">
        <v>327</v>
      </c>
      <c r="E506" t="s">
        <v>368</v>
      </c>
      <c r="F506" t="s">
        <v>301</v>
      </c>
      <c r="G506">
        <v>104000</v>
      </c>
      <c r="H506" t="s">
        <v>345</v>
      </c>
      <c r="I506">
        <v>201</v>
      </c>
      <c r="J506" t="s">
        <v>304</v>
      </c>
      <c r="K506" t="s">
        <v>304</v>
      </c>
      <c r="L506" t="s">
        <v>305</v>
      </c>
      <c r="M506">
        <v>64271.26</v>
      </c>
      <c r="P506">
        <v>78000</v>
      </c>
      <c r="R506" s="154"/>
      <c r="S506" s="73">
        <f t="shared" si="54"/>
        <v>7333.3507660000005</v>
      </c>
    </row>
    <row r="507" spans="1:19" ht="15">
      <c r="A507" s="161" t="s">
        <v>296</v>
      </c>
      <c r="B507" t="s">
        <v>379</v>
      </c>
      <c r="C507" t="s">
        <v>273</v>
      </c>
      <c r="D507" t="s">
        <v>327</v>
      </c>
      <c r="E507" t="s">
        <v>368</v>
      </c>
      <c r="F507" t="s">
        <v>301</v>
      </c>
      <c r="G507">
        <v>104000</v>
      </c>
      <c r="H507" t="s">
        <v>345</v>
      </c>
      <c r="I507">
        <v>201</v>
      </c>
      <c r="J507" t="s">
        <v>352</v>
      </c>
      <c r="K507" t="s">
        <v>304</v>
      </c>
      <c r="L507" t="s">
        <v>305</v>
      </c>
      <c r="M507">
        <v>1683.64</v>
      </c>
      <c r="P507">
        <v>0</v>
      </c>
      <c r="R507" s="154"/>
      <c r="S507" s="73">
        <f t="shared" si="54"/>
        <v>192.10332400000004</v>
      </c>
    </row>
    <row r="508" spans="1:19" ht="15">
      <c r="A508" s="161" t="s">
        <v>296</v>
      </c>
      <c r="B508" t="s">
        <v>379</v>
      </c>
      <c r="C508" t="s">
        <v>273</v>
      </c>
      <c r="D508" t="s">
        <v>327</v>
      </c>
      <c r="E508" t="s">
        <v>368</v>
      </c>
      <c r="F508" t="s">
        <v>301</v>
      </c>
      <c r="G508">
        <v>105003</v>
      </c>
      <c r="H508" t="s">
        <v>346</v>
      </c>
      <c r="I508">
        <v>201</v>
      </c>
      <c r="J508" t="s">
        <v>304</v>
      </c>
      <c r="K508" t="s">
        <v>304</v>
      </c>
      <c r="L508" t="s">
        <v>305</v>
      </c>
      <c r="M508">
        <v>238067.38</v>
      </c>
      <c r="P508">
        <v>0</v>
      </c>
      <c r="R508" s="154"/>
      <c r="S508" s="73">
        <f t="shared" si="54"/>
        <v>27163.488058000003</v>
      </c>
    </row>
    <row r="509" spans="1:19" ht="15">
      <c r="A509" s="161" t="s">
        <v>296</v>
      </c>
      <c r="B509" t="s">
        <v>379</v>
      </c>
      <c r="C509" t="s">
        <v>273</v>
      </c>
      <c r="D509" t="s">
        <v>327</v>
      </c>
      <c r="E509" t="s">
        <v>368</v>
      </c>
      <c r="F509" t="s">
        <v>301</v>
      </c>
      <c r="G509">
        <v>105010</v>
      </c>
      <c r="H509" t="s">
        <v>347</v>
      </c>
      <c r="I509">
        <v>201</v>
      </c>
      <c r="J509" t="s">
        <v>304</v>
      </c>
      <c r="K509" t="s">
        <v>304</v>
      </c>
      <c r="L509" t="s">
        <v>305</v>
      </c>
      <c r="M509">
        <v>3905.95</v>
      </c>
      <c r="P509">
        <v>0</v>
      </c>
      <c r="R509" s="154"/>
      <c r="S509" s="73">
        <f t="shared" si="54"/>
        <v>445.66889500000002</v>
      </c>
    </row>
    <row r="510" spans="1:19" ht="15">
      <c r="A510" s="161" t="s">
        <v>296</v>
      </c>
      <c r="B510" t="s">
        <v>379</v>
      </c>
      <c r="C510" t="s">
        <v>273</v>
      </c>
      <c r="D510" t="s">
        <v>327</v>
      </c>
      <c r="E510" t="s">
        <v>368</v>
      </c>
      <c r="F510" t="s">
        <v>301</v>
      </c>
      <c r="G510">
        <v>105010</v>
      </c>
      <c r="H510" t="s">
        <v>347</v>
      </c>
      <c r="I510">
        <v>201</v>
      </c>
      <c r="J510" t="s">
        <v>352</v>
      </c>
      <c r="K510" t="s">
        <v>304</v>
      </c>
      <c r="L510" t="s">
        <v>305</v>
      </c>
      <c r="M510">
        <v>209.92</v>
      </c>
      <c r="P510">
        <v>0</v>
      </c>
      <c r="R510" s="154"/>
      <c r="S510" s="73">
        <f t="shared" si="54"/>
        <v>23.951872000000002</v>
      </c>
    </row>
    <row r="511" spans="1:19" ht="15">
      <c r="A511" s="161" t="s">
        <v>296</v>
      </c>
      <c r="B511" t="s">
        <v>379</v>
      </c>
      <c r="C511" t="s">
        <v>273</v>
      </c>
      <c r="D511" t="s">
        <v>327</v>
      </c>
      <c r="E511" t="s">
        <v>368</v>
      </c>
      <c r="F511" t="s">
        <v>301</v>
      </c>
      <c r="G511">
        <v>105019</v>
      </c>
      <c r="H511" t="s">
        <v>348</v>
      </c>
      <c r="I511">
        <v>201</v>
      </c>
      <c r="J511" t="s">
        <v>304</v>
      </c>
      <c r="K511" t="s">
        <v>304</v>
      </c>
      <c r="L511" t="s">
        <v>305</v>
      </c>
      <c r="M511">
        <v>2696.6</v>
      </c>
      <c r="P511">
        <v>0</v>
      </c>
      <c r="R511" s="154"/>
      <c r="S511" s="73">
        <f t="shared" si="54"/>
        <v>307.68206000000004</v>
      </c>
    </row>
    <row r="512" spans="1:19" ht="15">
      <c r="A512" s="161" t="s">
        <v>296</v>
      </c>
      <c r="B512" t="s">
        <v>379</v>
      </c>
      <c r="C512" t="s">
        <v>273</v>
      </c>
      <c r="D512" t="s">
        <v>327</v>
      </c>
      <c r="E512" t="s">
        <v>368</v>
      </c>
      <c r="F512" t="s">
        <v>301</v>
      </c>
      <c r="G512">
        <v>105098</v>
      </c>
      <c r="H512" t="s">
        <v>302</v>
      </c>
      <c r="I512">
        <v>201</v>
      </c>
      <c r="J512" t="s">
        <v>331</v>
      </c>
      <c r="K512" t="s">
        <v>304</v>
      </c>
      <c r="L512" t="s">
        <v>305</v>
      </c>
      <c r="M512">
        <v>-4392</v>
      </c>
      <c r="P512">
        <v>0</v>
      </c>
      <c r="R512" s="154"/>
      <c r="S512" s="73">
        <f t="shared" si="54"/>
        <v>-501.12720000000007</v>
      </c>
    </row>
    <row r="513" spans="1:19" ht="15">
      <c r="A513" s="161" t="s">
        <v>296</v>
      </c>
      <c r="B513" t="s">
        <v>379</v>
      </c>
      <c r="C513" t="s">
        <v>273</v>
      </c>
      <c r="D513" t="s">
        <v>327</v>
      </c>
      <c r="E513" t="s">
        <v>368</v>
      </c>
      <c r="F513" t="s">
        <v>301</v>
      </c>
      <c r="G513">
        <v>105099</v>
      </c>
      <c r="H513" t="s">
        <v>306</v>
      </c>
      <c r="I513">
        <v>201</v>
      </c>
      <c r="J513" t="s">
        <v>332</v>
      </c>
      <c r="K513" t="s">
        <v>304</v>
      </c>
      <c r="L513" t="s">
        <v>305</v>
      </c>
      <c r="M513">
        <v>4392</v>
      </c>
      <c r="P513">
        <v>0</v>
      </c>
      <c r="R513" s="154"/>
      <c r="S513" s="73">
        <f t="shared" si="54"/>
        <v>501.12720000000007</v>
      </c>
    </row>
    <row r="514" spans="1:19" ht="15">
      <c r="A514" s="161" t="s">
        <v>296</v>
      </c>
      <c r="B514" t="s">
        <v>379</v>
      </c>
      <c r="C514" t="s">
        <v>273</v>
      </c>
      <c r="D514" t="s">
        <v>327</v>
      </c>
      <c r="E514" t="s">
        <v>368</v>
      </c>
      <c r="F514" t="s">
        <v>301</v>
      </c>
      <c r="G514" s="213">
        <v>109001</v>
      </c>
      <c r="H514" t="s">
        <v>324</v>
      </c>
      <c r="I514">
        <v>201</v>
      </c>
      <c r="J514" t="s">
        <v>304</v>
      </c>
      <c r="K514" t="s">
        <v>304</v>
      </c>
      <c r="L514" t="s">
        <v>305</v>
      </c>
      <c r="M514">
        <v>949842.71</v>
      </c>
      <c r="P514">
        <v>899000</v>
      </c>
      <c r="Q514" s="124">
        <f t="shared" ref="Q514:Q524" si="55">M514-P514</f>
        <v>50842.709999999963</v>
      </c>
      <c r="R514" s="124">
        <f t="shared" ref="R514:R518" si="56">M514*-1.141</f>
        <v>-1083770.53211</v>
      </c>
    </row>
    <row r="515" spans="1:19" ht="15">
      <c r="A515" s="161" t="s">
        <v>296</v>
      </c>
      <c r="B515" t="s">
        <v>379</v>
      </c>
      <c r="C515" t="s">
        <v>273</v>
      </c>
      <c r="D515" t="s">
        <v>327</v>
      </c>
      <c r="E515" t="s">
        <v>368</v>
      </c>
      <c r="F515" t="s">
        <v>301</v>
      </c>
      <c r="G515" s="213">
        <v>109001</v>
      </c>
      <c r="H515" t="s">
        <v>324</v>
      </c>
      <c r="I515">
        <v>201</v>
      </c>
      <c r="J515" t="s">
        <v>334</v>
      </c>
      <c r="K515" t="s">
        <v>304</v>
      </c>
      <c r="L515" t="s">
        <v>305</v>
      </c>
      <c r="M515">
        <v>0</v>
      </c>
      <c r="P515">
        <v>0</v>
      </c>
      <c r="Q515" s="124">
        <f t="shared" si="55"/>
        <v>0</v>
      </c>
      <c r="R515" s="124">
        <f t="shared" si="56"/>
        <v>0</v>
      </c>
    </row>
    <row r="516" spans="1:19" ht="15">
      <c r="A516" s="161" t="s">
        <v>296</v>
      </c>
      <c r="B516" t="s">
        <v>379</v>
      </c>
      <c r="C516" t="s">
        <v>273</v>
      </c>
      <c r="D516" t="s">
        <v>327</v>
      </c>
      <c r="E516" t="s">
        <v>368</v>
      </c>
      <c r="F516" t="s">
        <v>301</v>
      </c>
      <c r="G516" s="213">
        <v>109001</v>
      </c>
      <c r="H516" t="s">
        <v>324</v>
      </c>
      <c r="I516">
        <v>201</v>
      </c>
      <c r="J516" t="s">
        <v>357</v>
      </c>
      <c r="K516" t="s">
        <v>304</v>
      </c>
      <c r="L516" t="s">
        <v>305</v>
      </c>
      <c r="M516">
        <v>748.65</v>
      </c>
      <c r="P516">
        <v>0</v>
      </c>
      <c r="Q516" s="124">
        <f t="shared" si="55"/>
        <v>748.65</v>
      </c>
      <c r="R516" s="124">
        <f t="shared" si="56"/>
        <v>-854.20965000000001</v>
      </c>
    </row>
    <row r="517" spans="1:19" ht="15">
      <c r="A517" s="161" t="s">
        <v>296</v>
      </c>
      <c r="B517" t="s">
        <v>379</v>
      </c>
      <c r="C517" t="s">
        <v>273</v>
      </c>
      <c r="D517" t="s">
        <v>327</v>
      </c>
      <c r="E517" t="s">
        <v>368</v>
      </c>
      <c r="F517" t="s">
        <v>301</v>
      </c>
      <c r="G517" s="213">
        <v>109001</v>
      </c>
      <c r="H517" t="s">
        <v>324</v>
      </c>
      <c r="I517">
        <v>201</v>
      </c>
      <c r="J517" t="s">
        <v>350</v>
      </c>
      <c r="K517" t="s">
        <v>304</v>
      </c>
      <c r="L517" t="s">
        <v>305</v>
      </c>
      <c r="M517">
        <v>4511.88</v>
      </c>
      <c r="P517">
        <v>5000</v>
      </c>
      <c r="Q517" s="124">
        <f t="shared" si="55"/>
        <v>-488.11999999999989</v>
      </c>
      <c r="R517" s="124">
        <f t="shared" si="56"/>
        <v>-5148.0550800000001</v>
      </c>
    </row>
    <row r="518" spans="1:19" ht="15">
      <c r="A518" s="161" t="s">
        <v>296</v>
      </c>
      <c r="B518" t="s">
        <v>379</v>
      </c>
      <c r="C518" t="s">
        <v>273</v>
      </c>
      <c r="D518" t="s">
        <v>327</v>
      </c>
      <c r="E518" t="s">
        <v>368</v>
      </c>
      <c r="F518" t="s">
        <v>301</v>
      </c>
      <c r="G518" s="213">
        <v>109001</v>
      </c>
      <c r="H518" t="s">
        <v>324</v>
      </c>
      <c r="I518">
        <v>201</v>
      </c>
      <c r="J518" t="s">
        <v>352</v>
      </c>
      <c r="K518" t="s">
        <v>304</v>
      </c>
      <c r="L518" t="s">
        <v>305</v>
      </c>
      <c r="M518">
        <v>2613.6799999999998</v>
      </c>
      <c r="P518">
        <v>0</v>
      </c>
      <c r="Q518" s="124">
        <f t="shared" si="55"/>
        <v>2613.6799999999998</v>
      </c>
      <c r="R518" s="124">
        <f t="shared" si="56"/>
        <v>-2982.2088799999997</v>
      </c>
    </row>
    <row r="519" spans="1:19" ht="15">
      <c r="A519" s="161" t="s">
        <v>296</v>
      </c>
      <c r="B519" t="s">
        <v>379</v>
      </c>
      <c r="C519" t="s">
        <v>273</v>
      </c>
      <c r="D519" t="s">
        <v>327</v>
      </c>
      <c r="E519" t="s">
        <v>368</v>
      </c>
      <c r="F519" t="s">
        <v>301</v>
      </c>
      <c r="G519" s="213">
        <v>109901</v>
      </c>
      <c r="H519" t="s">
        <v>309</v>
      </c>
      <c r="I519">
        <v>201</v>
      </c>
      <c r="J519" t="s">
        <v>304</v>
      </c>
      <c r="K519" t="s">
        <v>304</v>
      </c>
      <c r="L519" t="s">
        <v>305</v>
      </c>
      <c r="M519">
        <v>1495969.87</v>
      </c>
      <c r="P519">
        <v>1477000</v>
      </c>
      <c r="Q519" s="124">
        <f t="shared" si="55"/>
        <v>18969.870000000112</v>
      </c>
      <c r="R519" s="154"/>
    </row>
    <row r="520" spans="1:19" ht="15">
      <c r="A520" s="161" t="s">
        <v>296</v>
      </c>
      <c r="B520" t="s">
        <v>379</v>
      </c>
      <c r="C520" t="s">
        <v>273</v>
      </c>
      <c r="D520" t="s">
        <v>327</v>
      </c>
      <c r="E520" t="s">
        <v>368</v>
      </c>
      <c r="F520" t="s">
        <v>301</v>
      </c>
      <c r="G520" s="213">
        <v>109901</v>
      </c>
      <c r="H520" t="s">
        <v>309</v>
      </c>
      <c r="I520">
        <v>201</v>
      </c>
      <c r="J520" t="s">
        <v>332</v>
      </c>
      <c r="K520" t="s">
        <v>304</v>
      </c>
      <c r="L520" t="s">
        <v>305</v>
      </c>
      <c r="M520">
        <v>619.32000000000005</v>
      </c>
      <c r="P520">
        <v>0</v>
      </c>
      <c r="Q520" s="124">
        <f t="shared" si="55"/>
        <v>619.32000000000005</v>
      </c>
      <c r="R520" s="154"/>
    </row>
    <row r="521" spans="1:19" ht="15">
      <c r="A521" s="161" t="s">
        <v>296</v>
      </c>
      <c r="B521" t="s">
        <v>379</v>
      </c>
      <c r="C521" t="s">
        <v>273</v>
      </c>
      <c r="D521" t="s">
        <v>327</v>
      </c>
      <c r="E521" t="s">
        <v>368</v>
      </c>
      <c r="F521" t="s">
        <v>301</v>
      </c>
      <c r="G521" s="213">
        <v>109901</v>
      </c>
      <c r="H521" t="s">
        <v>309</v>
      </c>
      <c r="I521">
        <v>201</v>
      </c>
      <c r="J521" t="s">
        <v>334</v>
      </c>
      <c r="K521" t="s">
        <v>304</v>
      </c>
      <c r="L521" t="s">
        <v>305</v>
      </c>
      <c r="M521">
        <v>0</v>
      </c>
      <c r="P521">
        <v>0</v>
      </c>
      <c r="Q521" s="124">
        <f t="shared" si="55"/>
        <v>0</v>
      </c>
      <c r="R521" s="154"/>
    </row>
    <row r="522" spans="1:19" ht="15">
      <c r="A522" s="161" t="s">
        <v>296</v>
      </c>
      <c r="B522" t="s">
        <v>379</v>
      </c>
      <c r="C522" t="s">
        <v>273</v>
      </c>
      <c r="D522" t="s">
        <v>327</v>
      </c>
      <c r="E522" t="s">
        <v>368</v>
      </c>
      <c r="F522" t="s">
        <v>301</v>
      </c>
      <c r="G522" s="213">
        <v>109901</v>
      </c>
      <c r="H522" t="s">
        <v>309</v>
      </c>
      <c r="I522">
        <v>201</v>
      </c>
      <c r="J522" t="s">
        <v>357</v>
      </c>
      <c r="K522" t="s">
        <v>304</v>
      </c>
      <c r="L522" t="s">
        <v>305</v>
      </c>
      <c r="M522">
        <v>1219.55</v>
      </c>
      <c r="P522">
        <v>0</v>
      </c>
      <c r="Q522" s="124">
        <f t="shared" si="55"/>
        <v>1219.55</v>
      </c>
      <c r="R522" s="154"/>
    </row>
    <row r="523" spans="1:19" ht="15">
      <c r="A523" s="161" t="s">
        <v>296</v>
      </c>
      <c r="B523" t="s">
        <v>379</v>
      </c>
      <c r="C523" t="s">
        <v>273</v>
      </c>
      <c r="D523" t="s">
        <v>327</v>
      </c>
      <c r="E523" t="s">
        <v>368</v>
      </c>
      <c r="F523" t="s">
        <v>301</v>
      </c>
      <c r="G523" s="213">
        <v>109901</v>
      </c>
      <c r="H523" t="s">
        <v>309</v>
      </c>
      <c r="I523">
        <v>201</v>
      </c>
      <c r="J523" t="s">
        <v>350</v>
      </c>
      <c r="K523" t="s">
        <v>304</v>
      </c>
      <c r="L523" t="s">
        <v>305</v>
      </c>
      <c r="M523">
        <v>7484.68</v>
      </c>
      <c r="P523">
        <v>8000</v>
      </c>
      <c r="Q523" s="124">
        <f t="shared" si="55"/>
        <v>-515.31999999999971</v>
      </c>
      <c r="R523" s="154"/>
    </row>
    <row r="524" spans="1:19" ht="15">
      <c r="A524" s="161" t="s">
        <v>296</v>
      </c>
      <c r="B524" t="s">
        <v>379</v>
      </c>
      <c r="C524" t="s">
        <v>273</v>
      </c>
      <c r="D524" t="s">
        <v>327</v>
      </c>
      <c r="E524" t="s">
        <v>368</v>
      </c>
      <c r="F524" t="s">
        <v>301</v>
      </c>
      <c r="G524" s="213">
        <v>109901</v>
      </c>
      <c r="H524" t="s">
        <v>309</v>
      </c>
      <c r="I524">
        <v>201</v>
      </c>
      <c r="J524" t="s">
        <v>352</v>
      </c>
      <c r="K524" t="s">
        <v>304</v>
      </c>
      <c r="L524" t="s">
        <v>305</v>
      </c>
      <c r="M524">
        <v>4556.92</v>
      </c>
      <c r="P524">
        <v>0</v>
      </c>
      <c r="Q524" s="124">
        <f t="shared" si="55"/>
        <v>4556.92</v>
      </c>
      <c r="R524" s="154"/>
    </row>
    <row r="525" spans="1:19" ht="15">
      <c r="A525" s="161" t="s">
        <v>296</v>
      </c>
      <c r="B525" t="s">
        <v>380</v>
      </c>
      <c r="C525" t="s">
        <v>274</v>
      </c>
      <c r="D525" t="s">
        <v>327</v>
      </c>
      <c r="E525" t="s">
        <v>381</v>
      </c>
      <c r="F525" t="s">
        <v>301</v>
      </c>
      <c r="G525">
        <v>101001</v>
      </c>
      <c r="H525" t="s">
        <v>329</v>
      </c>
      <c r="I525">
        <v>201</v>
      </c>
      <c r="J525" t="s">
        <v>304</v>
      </c>
      <c r="K525" t="s">
        <v>304</v>
      </c>
      <c r="L525" t="s">
        <v>305</v>
      </c>
      <c r="M525">
        <v>6624514.79</v>
      </c>
      <c r="P525">
        <v>6573000</v>
      </c>
      <c r="R525" s="154"/>
      <c r="S525" s="73">
        <f t="shared" ref="S525:S538" si="57">M525*$S$7*1.141</f>
        <v>755857.13753900002</v>
      </c>
    </row>
    <row r="526" spans="1:19" ht="15">
      <c r="A526" s="161" t="s">
        <v>296</v>
      </c>
      <c r="B526" t="s">
        <v>380</v>
      </c>
      <c r="C526" t="s">
        <v>274</v>
      </c>
      <c r="D526" t="s">
        <v>327</v>
      </c>
      <c r="E526" t="s">
        <v>381</v>
      </c>
      <c r="F526" t="s">
        <v>301</v>
      </c>
      <c r="G526">
        <v>101002</v>
      </c>
      <c r="H526" t="s">
        <v>335</v>
      </c>
      <c r="I526">
        <v>201</v>
      </c>
      <c r="J526" t="s">
        <v>304</v>
      </c>
      <c r="K526" t="s">
        <v>304</v>
      </c>
      <c r="L526" t="s">
        <v>305</v>
      </c>
      <c r="M526">
        <v>30237.02</v>
      </c>
      <c r="P526">
        <v>0</v>
      </c>
      <c r="R526" s="154"/>
      <c r="S526" s="73">
        <f t="shared" si="57"/>
        <v>3450.0439820000001</v>
      </c>
    </row>
    <row r="527" spans="1:19" ht="15">
      <c r="A527" s="161" t="s">
        <v>296</v>
      </c>
      <c r="B527" t="s">
        <v>380</v>
      </c>
      <c r="C527" t="s">
        <v>274</v>
      </c>
      <c r="D527" t="s">
        <v>327</v>
      </c>
      <c r="E527" t="s">
        <v>381</v>
      </c>
      <c r="F527" t="s">
        <v>301</v>
      </c>
      <c r="G527">
        <v>101039</v>
      </c>
      <c r="H527" t="s">
        <v>312</v>
      </c>
      <c r="I527">
        <v>201</v>
      </c>
      <c r="J527" t="s">
        <v>304</v>
      </c>
      <c r="K527" t="s">
        <v>304</v>
      </c>
      <c r="L527" t="s">
        <v>305</v>
      </c>
      <c r="M527">
        <v>99567.59</v>
      </c>
      <c r="P527">
        <v>0</v>
      </c>
      <c r="R527" s="154"/>
      <c r="S527" s="73">
        <f t="shared" si="57"/>
        <v>11360.662018999999</v>
      </c>
    </row>
    <row r="528" spans="1:19" ht="15">
      <c r="A528" s="161" t="s">
        <v>296</v>
      </c>
      <c r="B528" t="s">
        <v>380</v>
      </c>
      <c r="C528" t="s">
        <v>274</v>
      </c>
      <c r="D528" t="s">
        <v>327</v>
      </c>
      <c r="E528" t="s">
        <v>381</v>
      </c>
      <c r="F528" t="s">
        <v>301</v>
      </c>
      <c r="G528">
        <v>102002</v>
      </c>
      <c r="H528" t="s">
        <v>338</v>
      </c>
      <c r="I528">
        <v>201</v>
      </c>
      <c r="J528" t="s">
        <v>304</v>
      </c>
      <c r="K528" t="s">
        <v>304</v>
      </c>
      <c r="L528" t="s">
        <v>305</v>
      </c>
      <c r="M528">
        <v>13105.41</v>
      </c>
      <c r="P528">
        <v>0</v>
      </c>
      <c r="R528" s="154"/>
      <c r="S528" s="73">
        <f t="shared" si="57"/>
        <v>1495.3272810000003</v>
      </c>
    </row>
    <row r="529" spans="1:19" ht="15">
      <c r="A529" s="161" t="s">
        <v>296</v>
      </c>
      <c r="B529" t="s">
        <v>380</v>
      </c>
      <c r="C529" t="s">
        <v>274</v>
      </c>
      <c r="D529" t="s">
        <v>327</v>
      </c>
      <c r="E529" t="s">
        <v>381</v>
      </c>
      <c r="F529" t="s">
        <v>301</v>
      </c>
      <c r="G529">
        <v>102003</v>
      </c>
      <c r="H529" t="s">
        <v>339</v>
      </c>
      <c r="I529">
        <v>201</v>
      </c>
      <c r="J529" t="s">
        <v>304</v>
      </c>
      <c r="K529" t="s">
        <v>304</v>
      </c>
      <c r="L529" t="s">
        <v>305</v>
      </c>
      <c r="M529">
        <v>722615.84</v>
      </c>
      <c r="P529">
        <v>239000</v>
      </c>
      <c r="R529" s="154"/>
      <c r="S529" s="73">
        <f t="shared" si="57"/>
        <v>82450.467344000004</v>
      </c>
    </row>
    <row r="530" spans="1:19" ht="15">
      <c r="A530" s="161" t="s">
        <v>296</v>
      </c>
      <c r="B530" t="s">
        <v>380</v>
      </c>
      <c r="C530" t="s">
        <v>274</v>
      </c>
      <c r="D530" t="s">
        <v>327</v>
      </c>
      <c r="E530" t="s">
        <v>381</v>
      </c>
      <c r="F530" t="s">
        <v>301</v>
      </c>
      <c r="G530">
        <v>102005</v>
      </c>
      <c r="H530" t="s">
        <v>340</v>
      </c>
      <c r="I530">
        <v>201</v>
      </c>
      <c r="J530" t="s">
        <v>304</v>
      </c>
      <c r="K530" t="s">
        <v>304</v>
      </c>
      <c r="L530" t="s">
        <v>305</v>
      </c>
      <c r="M530">
        <v>37980.339999999997</v>
      </c>
      <c r="P530">
        <v>16000</v>
      </c>
      <c r="R530" s="154"/>
      <c r="S530" s="73">
        <f t="shared" si="57"/>
        <v>4333.5567940000001</v>
      </c>
    </row>
    <row r="531" spans="1:19" ht="15">
      <c r="A531" s="161" t="s">
        <v>296</v>
      </c>
      <c r="B531" t="s">
        <v>380</v>
      </c>
      <c r="C531" t="s">
        <v>274</v>
      </c>
      <c r="D531" t="s">
        <v>327</v>
      </c>
      <c r="E531" t="s">
        <v>381</v>
      </c>
      <c r="F531" t="s">
        <v>301</v>
      </c>
      <c r="G531">
        <v>102062</v>
      </c>
      <c r="H531" t="s">
        <v>341</v>
      </c>
      <c r="I531">
        <v>201</v>
      </c>
      <c r="J531" t="s">
        <v>304</v>
      </c>
      <c r="K531" t="s">
        <v>304</v>
      </c>
      <c r="L531" t="s">
        <v>305</v>
      </c>
      <c r="M531">
        <v>3527.79</v>
      </c>
      <c r="P531">
        <v>0</v>
      </c>
      <c r="R531" s="154"/>
      <c r="S531" s="73">
        <f t="shared" si="57"/>
        <v>402.52083900000002</v>
      </c>
    </row>
    <row r="532" spans="1:19" ht="15">
      <c r="A532" s="161" t="s">
        <v>296</v>
      </c>
      <c r="B532" t="s">
        <v>380</v>
      </c>
      <c r="C532" t="s">
        <v>274</v>
      </c>
      <c r="D532" t="s">
        <v>327</v>
      </c>
      <c r="E532" t="s">
        <v>381</v>
      </c>
      <c r="F532" t="s">
        <v>301</v>
      </c>
      <c r="G532">
        <v>103069</v>
      </c>
      <c r="H532" t="s">
        <v>344</v>
      </c>
      <c r="I532">
        <v>201</v>
      </c>
      <c r="J532" t="s">
        <v>304</v>
      </c>
      <c r="K532" t="s">
        <v>304</v>
      </c>
      <c r="L532" t="s">
        <v>305</v>
      </c>
      <c r="M532">
        <v>6460.21</v>
      </c>
      <c r="P532">
        <v>0</v>
      </c>
      <c r="R532" s="154"/>
      <c r="S532" s="73">
        <f t="shared" si="57"/>
        <v>737.10996100000011</v>
      </c>
    </row>
    <row r="533" spans="1:19" ht="15">
      <c r="A533" s="161" t="s">
        <v>296</v>
      </c>
      <c r="B533" t="s">
        <v>380</v>
      </c>
      <c r="C533" t="s">
        <v>274</v>
      </c>
      <c r="D533" t="s">
        <v>327</v>
      </c>
      <c r="E533" t="s">
        <v>381</v>
      </c>
      <c r="F533" t="s">
        <v>301</v>
      </c>
      <c r="G533">
        <v>104000</v>
      </c>
      <c r="H533" t="s">
        <v>345</v>
      </c>
      <c r="I533">
        <v>201</v>
      </c>
      <c r="J533" t="s">
        <v>304</v>
      </c>
      <c r="K533" t="s">
        <v>304</v>
      </c>
      <c r="L533" t="s">
        <v>305</v>
      </c>
      <c r="M533">
        <v>49556.7</v>
      </c>
      <c r="P533">
        <v>57000</v>
      </c>
      <c r="R533" s="154"/>
      <c r="S533" s="73">
        <f t="shared" si="57"/>
        <v>5654.4194699999998</v>
      </c>
    </row>
    <row r="534" spans="1:19" ht="15">
      <c r="A534" s="161" t="s">
        <v>296</v>
      </c>
      <c r="B534" t="s">
        <v>380</v>
      </c>
      <c r="C534" t="s">
        <v>274</v>
      </c>
      <c r="D534" t="s">
        <v>327</v>
      </c>
      <c r="E534" t="s">
        <v>381</v>
      </c>
      <c r="F534" t="s">
        <v>301</v>
      </c>
      <c r="G534">
        <v>105003</v>
      </c>
      <c r="H534" t="s">
        <v>346</v>
      </c>
      <c r="I534">
        <v>201</v>
      </c>
      <c r="J534" t="s">
        <v>304</v>
      </c>
      <c r="K534" t="s">
        <v>304</v>
      </c>
      <c r="L534" t="s">
        <v>305</v>
      </c>
      <c r="M534">
        <v>76187.360000000001</v>
      </c>
      <c r="P534">
        <v>0</v>
      </c>
      <c r="R534" s="154"/>
      <c r="S534" s="73">
        <f t="shared" si="57"/>
        <v>8692.9777760000015</v>
      </c>
    </row>
    <row r="535" spans="1:19" ht="15">
      <c r="A535" s="161" t="s">
        <v>296</v>
      </c>
      <c r="B535" t="s">
        <v>380</v>
      </c>
      <c r="C535" t="s">
        <v>274</v>
      </c>
      <c r="D535" t="s">
        <v>327</v>
      </c>
      <c r="E535" t="s">
        <v>381</v>
      </c>
      <c r="F535" t="s">
        <v>301</v>
      </c>
      <c r="G535">
        <v>105010</v>
      </c>
      <c r="H535" t="s">
        <v>347</v>
      </c>
      <c r="I535">
        <v>201</v>
      </c>
      <c r="J535" t="s">
        <v>304</v>
      </c>
      <c r="K535" t="s">
        <v>304</v>
      </c>
      <c r="L535" t="s">
        <v>305</v>
      </c>
      <c r="M535">
        <v>1790.39</v>
      </c>
      <c r="P535">
        <v>0</v>
      </c>
      <c r="R535" s="154"/>
      <c r="S535" s="73">
        <f t="shared" si="57"/>
        <v>204.28349900000003</v>
      </c>
    </row>
    <row r="536" spans="1:19" ht="15">
      <c r="A536" s="161" t="s">
        <v>296</v>
      </c>
      <c r="B536" t="s">
        <v>380</v>
      </c>
      <c r="C536" t="s">
        <v>274</v>
      </c>
      <c r="D536" t="s">
        <v>327</v>
      </c>
      <c r="E536" t="s">
        <v>381</v>
      </c>
      <c r="F536" t="s">
        <v>301</v>
      </c>
      <c r="G536">
        <v>105019</v>
      </c>
      <c r="H536" t="s">
        <v>348</v>
      </c>
      <c r="I536">
        <v>201</v>
      </c>
      <c r="J536" t="s">
        <v>304</v>
      </c>
      <c r="K536" t="s">
        <v>304</v>
      </c>
      <c r="L536" t="s">
        <v>305</v>
      </c>
      <c r="M536">
        <v>6.37</v>
      </c>
      <c r="P536">
        <v>0</v>
      </c>
      <c r="R536" s="154"/>
      <c r="S536" s="73">
        <f t="shared" si="57"/>
        <v>0.72681700000000005</v>
      </c>
    </row>
    <row r="537" spans="1:19" ht="15">
      <c r="A537" s="161" t="s">
        <v>296</v>
      </c>
      <c r="B537" t="s">
        <v>380</v>
      </c>
      <c r="C537" t="s">
        <v>274</v>
      </c>
      <c r="D537" t="s">
        <v>327</v>
      </c>
      <c r="E537" t="s">
        <v>381</v>
      </c>
      <c r="F537" t="s">
        <v>301</v>
      </c>
      <c r="G537">
        <v>105098</v>
      </c>
      <c r="H537" t="s">
        <v>302</v>
      </c>
      <c r="I537">
        <v>201</v>
      </c>
      <c r="J537" t="s">
        <v>331</v>
      </c>
      <c r="K537" t="s">
        <v>304</v>
      </c>
      <c r="L537" t="s">
        <v>305</v>
      </c>
      <c r="M537">
        <v>-4758</v>
      </c>
      <c r="P537">
        <v>0</v>
      </c>
      <c r="R537" s="154"/>
      <c r="S537" s="73">
        <f t="shared" si="57"/>
        <v>-542.88779999999997</v>
      </c>
    </row>
    <row r="538" spans="1:19" ht="15">
      <c r="A538" s="161" t="s">
        <v>296</v>
      </c>
      <c r="B538" t="s">
        <v>380</v>
      </c>
      <c r="C538" t="s">
        <v>274</v>
      </c>
      <c r="D538" t="s">
        <v>327</v>
      </c>
      <c r="E538" t="s">
        <v>381</v>
      </c>
      <c r="F538" t="s">
        <v>301</v>
      </c>
      <c r="G538">
        <v>105099</v>
      </c>
      <c r="H538" t="s">
        <v>306</v>
      </c>
      <c r="I538">
        <v>201</v>
      </c>
      <c r="J538" t="s">
        <v>332</v>
      </c>
      <c r="K538" t="s">
        <v>304</v>
      </c>
      <c r="L538" t="s">
        <v>305</v>
      </c>
      <c r="M538">
        <v>4758</v>
      </c>
      <c r="P538">
        <v>0</v>
      </c>
      <c r="R538" s="154"/>
      <c r="S538" s="73">
        <f t="shared" si="57"/>
        <v>542.88779999999997</v>
      </c>
    </row>
    <row r="539" spans="1:19" ht="15">
      <c r="A539" s="161" t="s">
        <v>296</v>
      </c>
      <c r="B539" t="s">
        <v>380</v>
      </c>
      <c r="C539" t="s">
        <v>274</v>
      </c>
      <c r="D539" t="s">
        <v>327</v>
      </c>
      <c r="E539" t="s">
        <v>381</v>
      </c>
      <c r="F539" t="s">
        <v>301</v>
      </c>
      <c r="G539" s="213">
        <v>109001</v>
      </c>
      <c r="H539" t="s">
        <v>324</v>
      </c>
      <c r="I539">
        <v>201</v>
      </c>
      <c r="J539" t="s">
        <v>304</v>
      </c>
      <c r="K539" t="s">
        <v>304</v>
      </c>
      <c r="L539" t="s">
        <v>305</v>
      </c>
      <c r="M539">
        <v>704978.53</v>
      </c>
      <c r="P539">
        <v>647000</v>
      </c>
      <c r="Q539" s="124">
        <f t="shared" ref="Q539:Q542" si="58">M539-P539</f>
        <v>57978.530000000028</v>
      </c>
      <c r="R539" s="124">
        <f>M539*-1.141</f>
        <v>-804380.50273000007</v>
      </c>
    </row>
    <row r="540" spans="1:19" ht="15">
      <c r="A540" s="161" t="s">
        <v>296</v>
      </c>
      <c r="B540" t="s">
        <v>380</v>
      </c>
      <c r="C540" t="s">
        <v>274</v>
      </c>
      <c r="D540" t="s">
        <v>327</v>
      </c>
      <c r="E540" t="s">
        <v>381</v>
      </c>
      <c r="F540" t="s">
        <v>301</v>
      </c>
      <c r="G540" s="213">
        <v>109901</v>
      </c>
      <c r="H540" t="s">
        <v>309</v>
      </c>
      <c r="I540">
        <v>201</v>
      </c>
      <c r="J540" t="s">
        <v>304</v>
      </c>
      <c r="K540" t="s">
        <v>304</v>
      </c>
      <c r="L540" t="s">
        <v>305</v>
      </c>
      <c r="M540">
        <v>1060644.5900000001</v>
      </c>
      <c r="P540">
        <v>1061000</v>
      </c>
      <c r="Q540" s="124">
        <f t="shared" si="58"/>
        <v>-355.40999999991618</v>
      </c>
      <c r="R540" s="154"/>
    </row>
    <row r="541" spans="1:19" ht="15">
      <c r="A541" s="161" t="s">
        <v>296</v>
      </c>
      <c r="B541" t="s">
        <v>380</v>
      </c>
      <c r="C541" t="s">
        <v>274</v>
      </c>
      <c r="D541" t="s">
        <v>327</v>
      </c>
      <c r="E541" t="s">
        <v>381</v>
      </c>
      <c r="F541" t="s">
        <v>301</v>
      </c>
      <c r="G541" s="213">
        <v>109901</v>
      </c>
      <c r="H541" t="s">
        <v>309</v>
      </c>
      <c r="I541">
        <v>201</v>
      </c>
      <c r="J541" t="s">
        <v>332</v>
      </c>
      <c r="K541" t="s">
        <v>304</v>
      </c>
      <c r="L541" t="s">
        <v>305</v>
      </c>
      <c r="M541">
        <v>670.93</v>
      </c>
      <c r="P541">
        <v>0</v>
      </c>
      <c r="Q541" s="124">
        <f t="shared" si="58"/>
        <v>670.93</v>
      </c>
      <c r="R541" s="154"/>
    </row>
    <row r="542" spans="1:19" ht="15">
      <c r="A542" s="161" t="s">
        <v>296</v>
      </c>
      <c r="B542" t="s">
        <v>382</v>
      </c>
      <c r="C542" t="s">
        <v>383</v>
      </c>
      <c r="D542" t="s">
        <v>327</v>
      </c>
      <c r="E542" t="s">
        <v>381</v>
      </c>
      <c r="F542" t="s">
        <v>301</v>
      </c>
      <c r="G542" s="213">
        <v>109901</v>
      </c>
      <c r="H542" t="s">
        <v>309</v>
      </c>
      <c r="I542">
        <v>201</v>
      </c>
      <c r="J542" t="s">
        <v>304</v>
      </c>
      <c r="K542" t="s">
        <v>304</v>
      </c>
      <c r="L542" t="s">
        <v>305</v>
      </c>
      <c r="M542">
        <v>-1419.16</v>
      </c>
      <c r="P542">
        <v>0</v>
      </c>
      <c r="Q542" s="124">
        <f t="shared" si="58"/>
        <v>-1419.16</v>
      </c>
      <c r="R542" s="154"/>
    </row>
    <row r="543" spans="1:19" ht="15">
      <c r="A543" s="161" t="s">
        <v>296</v>
      </c>
      <c r="B543" t="s">
        <v>384</v>
      </c>
      <c r="C543" t="s">
        <v>275</v>
      </c>
      <c r="D543" t="s">
        <v>327</v>
      </c>
      <c r="E543" t="s">
        <v>381</v>
      </c>
      <c r="F543" t="s">
        <v>301</v>
      </c>
      <c r="G543">
        <v>101001</v>
      </c>
      <c r="H543" t="s">
        <v>329</v>
      </c>
      <c r="I543">
        <v>201</v>
      </c>
      <c r="J543" t="s">
        <v>304</v>
      </c>
      <c r="K543" t="s">
        <v>304</v>
      </c>
      <c r="L543" t="s">
        <v>305</v>
      </c>
      <c r="M543">
        <v>5008469.42</v>
      </c>
      <c r="P543">
        <v>5106000</v>
      </c>
      <c r="R543" s="154"/>
      <c r="S543" s="73">
        <f t="shared" ref="S543:S561" si="59">M543*$S$7*1.141</f>
        <v>571466.36082200008</v>
      </c>
    </row>
    <row r="544" spans="1:19" ht="15">
      <c r="A544" s="161" t="s">
        <v>296</v>
      </c>
      <c r="B544" t="s">
        <v>384</v>
      </c>
      <c r="C544" t="s">
        <v>275</v>
      </c>
      <c r="D544" t="s">
        <v>327</v>
      </c>
      <c r="E544" t="s">
        <v>381</v>
      </c>
      <c r="F544" t="s">
        <v>301</v>
      </c>
      <c r="G544">
        <v>101002</v>
      </c>
      <c r="H544" t="s">
        <v>335</v>
      </c>
      <c r="I544">
        <v>201</v>
      </c>
      <c r="J544" t="s">
        <v>304</v>
      </c>
      <c r="K544" t="s">
        <v>304</v>
      </c>
      <c r="L544" t="s">
        <v>305</v>
      </c>
      <c r="M544">
        <v>-10784.08</v>
      </c>
      <c r="P544">
        <v>0</v>
      </c>
      <c r="R544" s="154"/>
      <c r="S544" s="73">
        <f t="shared" si="59"/>
        <v>-1230.4635280000002</v>
      </c>
    </row>
    <row r="545" spans="1:19" ht="15">
      <c r="A545" s="161" t="s">
        <v>296</v>
      </c>
      <c r="B545" t="s">
        <v>384</v>
      </c>
      <c r="C545" t="s">
        <v>275</v>
      </c>
      <c r="D545" t="s">
        <v>327</v>
      </c>
      <c r="E545" t="s">
        <v>381</v>
      </c>
      <c r="F545" t="s">
        <v>301</v>
      </c>
      <c r="G545">
        <v>101039</v>
      </c>
      <c r="H545" t="s">
        <v>312</v>
      </c>
      <c r="I545">
        <v>201</v>
      </c>
      <c r="J545" t="s">
        <v>304</v>
      </c>
      <c r="K545" t="s">
        <v>304</v>
      </c>
      <c r="L545" t="s">
        <v>305</v>
      </c>
      <c r="M545">
        <v>82061.42</v>
      </c>
      <c r="P545">
        <v>0</v>
      </c>
      <c r="R545" s="154"/>
      <c r="S545" s="73">
        <f t="shared" si="59"/>
        <v>9363.2080220000007</v>
      </c>
    </row>
    <row r="546" spans="1:19" ht="15">
      <c r="A546" s="161" t="s">
        <v>296</v>
      </c>
      <c r="B546" t="s">
        <v>384</v>
      </c>
      <c r="C546" t="s">
        <v>275</v>
      </c>
      <c r="D546" t="s">
        <v>327</v>
      </c>
      <c r="E546" t="s">
        <v>381</v>
      </c>
      <c r="F546" t="s">
        <v>301</v>
      </c>
      <c r="G546">
        <v>102002</v>
      </c>
      <c r="H546" t="s">
        <v>338</v>
      </c>
      <c r="I546">
        <v>201</v>
      </c>
      <c r="J546" t="s">
        <v>304</v>
      </c>
      <c r="K546" t="s">
        <v>304</v>
      </c>
      <c r="L546" t="s">
        <v>305</v>
      </c>
      <c r="M546">
        <v>11091.74</v>
      </c>
      <c r="P546">
        <v>0</v>
      </c>
      <c r="R546" s="154"/>
      <c r="S546" s="73">
        <f t="shared" si="59"/>
        <v>1265.567534</v>
      </c>
    </row>
    <row r="547" spans="1:19" ht="15">
      <c r="A547" s="161" t="s">
        <v>296</v>
      </c>
      <c r="B547" t="s">
        <v>384</v>
      </c>
      <c r="C547" t="s">
        <v>275</v>
      </c>
      <c r="D547" t="s">
        <v>327</v>
      </c>
      <c r="E547" t="s">
        <v>381</v>
      </c>
      <c r="F547" t="s">
        <v>301</v>
      </c>
      <c r="G547">
        <v>102003</v>
      </c>
      <c r="H547" t="s">
        <v>339</v>
      </c>
      <c r="I547">
        <v>201</v>
      </c>
      <c r="J547" t="s">
        <v>304</v>
      </c>
      <c r="K547" t="s">
        <v>304</v>
      </c>
      <c r="L547" t="s">
        <v>305</v>
      </c>
      <c r="M547">
        <v>98868.79</v>
      </c>
      <c r="P547">
        <v>150000</v>
      </c>
      <c r="R547" s="154"/>
      <c r="S547" s="73">
        <f t="shared" si="59"/>
        <v>11280.928939000001</v>
      </c>
    </row>
    <row r="548" spans="1:19" ht="15">
      <c r="A548" s="161" t="s">
        <v>296</v>
      </c>
      <c r="B548" t="s">
        <v>384</v>
      </c>
      <c r="C548" t="s">
        <v>275</v>
      </c>
      <c r="D548" t="s">
        <v>327</v>
      </c>
      <c r="E548" t="s">
        <v>381</v>
      </c>
      <c r="F548" t="s">
        <v>301</v>
      </c>
      <c r="G548">
        <v>102003</v>
      </c>
      <c r="H548" t="s">
        <v>339</v>
      </c>
      <c r="I548">
        <v>201</v>
      </c>
      <c r="J548" t="s">
        <v>357</v>
      </c>
      <c r="K548" t="s">
        <v>304</v>
      </c>
      <c r="L548" t="s">
        <v>305</v>
      </c>
      <c r="M548">
        <v>20991.599999999999</v>
      </c>
      <c r="P548">
        <v>0</v>
      </c>
      <c r="R548" s="154"/>
      <c r="S548" s="73">
        <f t="shared" si="59"/>
        <v>2395.14156</v>
      </c>
    </row>
    <row r="549" spans="1:19" ht="15">
      <c r="A549" s="161" t="s">
        <v>296</v>
      </c>
      <c r="B549" t="s">
        <v>384</v>
      </c>
      <c r="C549" t="s">
        <v>275</v>
      </c>
      <c r="D549" t="s">
        <v>327</v>
      </c>
      <c r="E549" t="s">
        <v>381</v>
      </c>
      <c r="F549" t="s">
        <v>301</v>
      </c>
      <c r="G549">
        <v>102005</v>
      </c>
      <c r="H549" t="s">
        <v>340</v>
      </c>
      <c r="I549">
        <v>201</v>
      </c>
      <c r="J549" t="s">
        <v>304</v>
      </c>
      <c r="K549" t="s">
        <v>304</v>
      </c>
      <c r="L549" t="s">
        <v>305</v>
      </c>
      <c r="M549">
        <v>67084.070000000007</v>
      </c>
      <c r="P549">
        <v>0</v>
      </c>
      <c r="R549" s="154"/>
      <c r="S549" s="73">
        <f t="shared" si="59"/>
        <v>7654.2923870000013</v>
      </c>
    </row>
    <row r="550" spans="1:19" ht="15">
      <c r="A550" s="161" t="s">
        <v>296</v>
      </c>
      <c r="B550" t="s">
        <v>384</v>
      </c>
      <c r="C550" t="s">
        <v>275</v>
      </c>
      <c r="D550" t="s">
        <v>327</v>
      </c>
      <c r="E550" t="s">
        <v>381</v>
      </c>
      <c r="F550" t="s">
        <v>301</v>
      </c>
      <c r="G550">
        <v>102005</v>
      </c>
      <c r="H550" t="s">
        <v>340</v>
      </c>
      <c r="I550">
        <v>201</v>
      </c>
      <c r="J550" t="s">
        <v>351</v>
      </c>
      <c r="K550" t="s">
        <v>304</v>
      </c>
      <c r="L550" t="s">
        <v>305</v>
      </c>
      <c r="M550">
        <v>3390.92</v>
      </c>
      <c r="P550">
        <v>0</v>
      </c>
      <c r="R550" s="154"/>
      <c r="S550" s="73">
        <f t="shared" si="59"/>
        <v>386.90397200000007</v>
      </c>
    </row>
    <row r="551" spans="1:19" ht="15">
      <c r="A551" s="161" t="s">
        <v>296</v>
      </c>
      <c r="B551" t="s">
        <v>384</v>
      </c>
      <c r="C551" t="s">
        <v>275</v>
      </c>
      <c r="D551" t="s">
        <v>327</v>
      </c>
      <c r="E551" t="s">
        <v>381</v>
      </c>
      <c r="F551" t="s">
        <v>301</v>
      </c>
      <c r="G551">
        <v>102062</v>
      </c>
      <c r="H551" t="s">
        <v>341</v>
      </c>
      <c r="I551">
        <v>201</v>
      </c>
      <c r="J551" t="s">
        <v>304</v>
      </c>
      <c r="K551" t="s">
        <v>304</v>
      </c>
      <c r="L551" t="s">
        <v>305</v>
      </c>
      <c r="M551">
        <v>1191.56</v>
      </c>
      <c r="P551">
        <v>0</v>
      </c>
      <c r="R551" s="154"/>
      <c r="S551" s="73">
        <f t="shared" si="59"/>
        <v>135.956996</v>
      </c>
    </row>
    <row r="552" spans="1:19" ht="15">
      <c r="A552" s="161" t="s">
        <v>296</v>
      </c>
      <c r="B552" t="s">
        <v>384</v>
      </c>
      <c r="C552" t="s">
        <v>275</v>
      </c>
      <c r="D552" t="s">
        <v>327</v>
      </c>
      <c r="E552" t="s">
        <v>381</v>
      </c>
      <c r="F552" t="s">
        <v>301</v>
      </c>
      <c r="G552">
        <v>103001</v>
      </c>
      <c r="H552" t="s">
        <v>342</v>
      </c>
      <c r="I552">
        <v>201</v>
      </c>
      <c r="J552" t="s">
        <v>304</v>
      </c>
      <c r="K552" t="s">
        <v>304</v>
      </c>
      <c r="L552" t="s">
        <v>305</v>
      </c>
      <c r="M552">
        <v>7178.39</v>
      </c>
      <c r="P552">
        <v>0</v>
      </c>
      <c r="R552" s="154"/>
      <c r="S552" s="73">
        <f t="shared" si="59"/>
        <v>819.05429900000013</v>
      </c>
    </row>
    <row r="553" spans="1:19" ht="15">
      <c r="A553" s="161" t="s">
        <v>296</v>
      </c>
      <c r="B553" t="s">
        <v>384</v>
      </c>
      <c r="C553" t="s">
        <v>275</v>
      </c>
      <c r="D553" t="s">
        <v>327</v>
      </c>
      <c r="E553" t="s">
        <v>381</v>
      </c>
      <c r="F553" t="s">
        <v>301</v>
      </c>
      <c r="G553">
        <v>103001</v>
      </c>
      <c r="H553" t="s">
        <v>342</v>
      </c>
      <c r="I553">
        <v>201</v>
      </c>
      <c r="J553" t="s">
        <v>351</v>
      </c>
      <c r="K553" t="s">
        <v>304</v>
      </c>
      <c r="L553" t="s">
        <v>305</v>
      </c>
      <c r="M553">
        <v>6410.39</v>
      </c>
      <c r="P553">
        <v>0</v>
      </c>
      <c r="R553" s="154"/>
      <c r="S553" s="73">
        <f t="shared" si="59"/>
        <v>731.42549900000017</v>
      </c>
    </row>
    <row r="554" spans="1:19" ht="15">
      <c r="A554" s="161" t="s">
        <v>296</v>
      </c>
      <c r="B554" t="s">
        <v>384</v>
      </c>
      <c r="C554" t="s">
        <v>275</v>
      </c>
      <c r="D554" t="s">
        <v>327</v>
      </c>
      <c r="E554" t="s">
        <v>381</v>
      </c>
      <c r="F554" t="s">
        <v>301</v>
      </c>
      <c r="G554">
        <v>103062</v>
      </c>
      <c r="H554" t="s">
        <v>343</v>
      </c>
      <c r="I554">
        <v>201</v>
      </c>
      <c r="J554" t="s">
        <v>304</v>
      </c>
      <c r="K554" t="s">
        <v>304</v>
      </c>
      <c r="L554" t="s">
        <v>305</v>
      </c>
      <c r="M554">
        <v>215.04</v>
      </c>
      <c r="P554">
        <v>0</v>
      </c>
      <c r="R554" s="154"/>
      <c r="S554" s="73">
        <f t="shared" si="59"/>
        <v>24.536064000000003</v>
      </c>
    </row>
    <row r="555" spans="1:19" ht="15">
      <c r="A555" s="161" t="s">
        <v>296</v>
      </c>
      <c r="B555" t="s">
        <v>384</v>
      </c>
      <c r="C555" t="s">
        <v>275</v>
      </c>
      <c r="D555" t="s">
        <v>327</v>
      </c>
      <c r="E555" t="s">
        <v>381</v>
      </c>
      <c r="F555" t="s">
        <v>301</v>
      </c>
      <c r="G555">
        <v>103069</v>
      </c>
      <c r="H555" t="s">
        <v>344</v>
      </c>
      <c r="I555">
        <v>201</v>
      </c>
      <c r="J555" t="s">
        <v>304</v>
      </c>
      <c r="K555" t="s">
        <v>304</v>
      </c>
      <c r="L555" t="s">
        <v>305</v>
      </c>
      <c r="M555">
        <v>3099.1</v>
      </c>
      <c r="P555">
        <v>0</v>
      </c>
      <c r="R555" s="154"/>
      <c r="S555" s="73">
        <f t="shared" si="59"/>
        <v>353.60731000000004</v>
      </c>
    </row>
    <row r="556" spans="1:19" ht="15">
      <c r="A556" s="161" t="s">
        <v>296</v>
      </c>
      <c r="B556" t="s">
        <v>384</v>
      </c>
      <c r="C556" t="s">
        <v>275</v>
      </c>
      <c r="D556" t="s">
        <v>327</v>
      </c>
      <c r="E556" t="s">
        <v>381</v>
      </c>
      <c r="F556" t="s">
        <v>301</v>
      </c>
      <c r="G556">
        <v>104000</v>
      </c>
      <c r="H556" t="s">
        <v>345</v>
      </c>
      <c r="I556">
        <v>201</v>
      </c>
      <c r="J556" t="s">
        <v>304</v>
      </c>
      <c r="K556" t="s">
        <v>304</v>
      </c>
      <c r="L556" t="s">
        <v>305</v>
      </c>
      <c r="M556">
        <v>47306.46</v>
      </c>
      <c r="P556">
        <v>41000</v>
      </c>
      <c r="R556" s="154"/>
      <c r="S556" s="73">
        <f t="shared" si="59"/>
        <v>5397.6670859999995</v>
      </c>
    </row>
    <row r="557" spans="1:19" ht="15">
      <c r="A557" s="161" t="s">
        <v>296</v>
      </c>
      <c r="B557" t="s">
        <v>384</v>
      </c>
      <c r="C557" t="s">
        <v>275</v>
      </c>
      <c r="D557" t="s">
        <v>327</v>
      </c>
      <c r="E557" t="s">
        <v>381</v>
      </c>
      <c r="F557" t="s">
        <v>301</v>
      </c>
      <c r="G557">
        <v>105003</v>
      </c>
      <c r="H557" t="s">
        <v>346</v>
      </c>
      <c r="I557">
        <v>201</v>
      </c>
      <c r="J557" t="s">
        <v>304</v>
      </c>
      <c r="K557" t="s">
        <v>304</v>
      </c>
      <c r="L557" t="s">
        <v>305</v>
      </c>
      <c r="M557">
        <v>211309.69</v>
      </c>
      <c r="P557">
        <v>0</v>
      </c>
      <c r="R557" s="154"/>
      <c r="S557" s="73">
        <f t="shared" si="59"/>
        <v>24110.435629</v>
      </c>
    </row>
    <row r="558" spans="1:19" ht="15">
      <c r="A558" s="161" t="s">
        <v>296</v>
      </c>
      <c r="B558" t="s">
        <v>384</v>
      </c>
      <c r="C558" t="s">
        <v>275</v>
      </c>
      <c r="D558" t="s">
        <v>327</v>
      </c>
      <c r="E558" t="s">
        <v>381</v>
      </c>
      <c r="F558" t="s">
        <v>301</v>
      </c>
      <c r="G558">
        <v>105010</v>
      </c>
      <c r="H558" t="s">
        <v>347</v>
      </c>
      <c r="I558">
        <v>201</v>
      </c>
      <c r="J558" t="s">
        <v>304</v>
      </c>
      <c r="K558" t="s">
        <v>304</v>
      </c>
      <c r="L558" t="s">
        <v>305</v>
      </c>
      <c r="M558">
        <v>636.75</v>
      </c>
      <c r="P558">
        <v>0</v>
      </c>
      <c r="R558" s="154"/>
      <c r="S558" s="73">
        <f t="shared" si="59"/>
        <v>72.653175000000005</v>
      </c>
    </row>
    <row r="559" spans="1:19" ht="15">
      <c r="A559" s="161" t="s">
        <v>296</v>
      </c>
      <c r="B559" t="s">
        <v>384</v>
      </c>
      <c r="C559" t="s">
        <v>275</v>
      </c>
      <c r="D559" t="s">
        <v>327</v>
      </c>
      <c r="E559" t="s">
        <v>381</v>
      </c>
      <c r="F559" t="s">
        <v>301</v>
      </c>
      <c r="G559">
        <v>105019</v>
      </c>
      <c r="H559" t="s">
        <v>348</v>
      </c>
      <c r="I559">
        <v>201</v>
      </c>
      <c r="J559" t="s">
        <v>304</v>
      </c>
      <c r="K559" t="s">
        <v>304</v>
      </c>
      <c r="L559" t="s">
        <v>305</v>
      </c>
      <c r="M559">
        <v>1075.76</v>
      </c>
      <c r="P559">
        <v>0</v>
      </c>
      <c r="R559" s="154"/>
      <c r="S559" s="73">
        <f t="shared" si="59"/>
        <v>122.74421600000001</v>
      </c>
    </row>
    <row r="560" spans="1:19" ht="15">
      <c r="A560" s="161" t="s">
        <v>296</v>
      </c>
      <c r="B560" t="s">
        <v>384</v>
      </c>
      <c r="C560" t="s">
        <v>275</v>
      </c>
      <c r="D560" t="s">
        <v>327</v>
      </c>
      <c r="E560" t="s">
        <v>381</v>
      </c>
      <c r="F560" t="s">
        <v>301</v>
      </c>
      <c r="G560">
        <v>105098</v>
      </c>
      <c r="H560" t="s">
        <v>302</v>
      </c>
      <c r="I560">
        <v>201</v>
      </c>
      <c r="J560" t="s">
        <v>331</v>
      </c>
      <c r="K560" t="s">
        <v>304</v>
      </c>
      <c r="L560" t="s">
        <v>305</v>
      </c>
      <c r="M560">
        <v>-2562</v>
      </c>
      <c r="P560">
        <v>0</v>
      </c>
      <c r="R560" s="154"/>
      <c r="S560" s="73">
        <f t="shared" si="59"/>
        <v>-292.32420000000002</v>
      </c>
    </row>
    <row r="561" spans="1:19" ht="15">
      <c r="A561" s="161" t="s">
        <v>296</v>
      </c>
      <c r="B561" t="s">
        <v>384</v>
      </c>
      <c r="C561" t="s">
        <v>275</v>
      </c>
      <c r="D561" t="s">
        <v>327</v>
      </c>
      <c r="E561" t="s">
        <v>381</v>
      </c>
      <c r="F561" t="s">
        <v>301</v>
      </c>
      <c r="G561">
        <v>105099</v>
      </c>
      <c r="H561" t="s">
        <v>306</v>
      </c>
      <c r="I561">
        <v>201</v>
      </c>
      <c r="J561" t="s">
        <v>332</v>
      </c>
      <c r="K561" t="s">
        <v>304</v>
      </c>
      <c r="L561" t="s">
        <v>305</v>
      </c>
      <c r="M561">
        <v>2562</v>
      </c>
      <c r="P561">
        <v>0</v>
      </c>
      <c r="R561" s="154"/>
      <c r="S561" s="73">
        <f t="shared" si="59"/>
        <v>292.32420000000002</v>
      </c>
    </row>
    <row r="562" spans="1:19" ht="15">
      <c r="A562" s="161" t="s">
        <v>296</v>
      </c>
      <c r="B562" t="s">
        <v>384</v>
      </c>
      <c r="C562" t="s">
        <v>275</v>
      </c>
      <c r="D562" t="s">
        <v>327</v>
      </c>
      <c r="E562" t="s">
        <v>381</v>
      </c>
      <c r="F562" t="s">
        <v>301</v>
      </c>
      <c r="G562" s="213">
        <v>109001</v>
      </c>
      <c r="H562" t="s">
        <v>324</v>
      </c>
      <c r="I562">
        <v>201</v>
      </c>
      <c r="J562" t="s">
        <v>304</v>
      </c>
      <c r="K562" t="s">
        <v>304</v>
      </c>
      <c r="L562" t="s">
        <v>305</v>
      </c>
      <c r="M562">
        <v>506440.69</v>
      </c>
      <c r="P562">
        <v>499000</v>
      </c>
      <c r="Q562" s="124">
        <f t="shared" ref="Q562:Q568" si="60">M562-P562</f>
        <v>7440.6900000000023</v>
      </c>
      <c r="R562" s="124">
        <f t="shared" ref="R562:R564" si="61">M562*-1.141</f>
        <v>-577848.82729000004</v>
      </c>
    </row>
    <row r="563" spans="1:19" ht="15">
      <c r="A563" s="161" t="s">
        <v>296</v>
      </c>
      <c r="B563" t="s">
        <v>384</v>
      </c>
      <c r="C563" t="s">
        <v>275</v>
      </c>
      <c r="D563" t="s">
        <v>327</v>
      </c>
      <c r="E563" t="s">
        <v>381</v>
      </c>
      <c r="F563" t="s">
        <v>301</v>
      </c>
      <c r="G563" s="213">
        <v>109001</v>
      </c>
      <c r="H563" t="s">
        <v>324</v>
      </c>
      <c r="I563">
        <v>201</v>
      </c>
      <c r="J563" t="s">
        <v>351</v>
      </c>
      <c r="K563" t="s">
        <v>304</v>
      </c>
      <c r="L563" t="s">
        <v>305</v>
      </c>
      <c r="M563">
        <v>925.83</v>
      </c>
      <c r="P563">
        <v>0</v>
      </c>
      <c r="Q563" s="124">
        <f t="shared" si="60"/>
        <v>925.83</v>
      </c>
      <c r="R563" s="124">
        <f t="shared" si="61"/>
        <v>-1056.37203</v>
      </c>
    </row>
    <row r="564" spans="1:19" ht="15">
      <c r="A564" s="161" t="s">
        <v>296</v>
      </c>
      <c r="B564" t="s">
        <v>384</v>
      </c>
      <c r="C564" t="s">
        <v>275</v>
      </c>
      <c r="D564" t="s">
        <v>327</v>
      </c>
      <c r="E564" t="s">
        <v>381</v>
      </c>
      <c r="F564" t="s">
        <v>301</v>
      </c>
      <c r="G564" s="213">
        <v>109001</v>
      </c>
      <c r="H564" t="s">
        <v>324</v>
      </c>
      <c r="I564">
        <v>201</v>
      </c>
      <c r="J564" t="s">
        <v>357</v>
      </c>
      <c r="K564" t="s">
        <v>304</v>
      </c>
      <c r="L564" t="s">
        <v>305</v>
      </c>
      <c r="M564">
        <v>1989.1</v>
      </c>
      <c r="P564">
        <v>0</v>
      </c>
      <c r="Q564" s="124">
        <f t="shared" si="60"/>
        <v>1989.1</v>
      </c>
      <c r="R564" s="124">
        <f t="shared" si="61"/>
        <v>-2269.5630999999998</v>
      </c>
    </row>
    <row r="565" spans="1:19" ht="15">
      <c r="A565" s="161" t="s">
        <v>296</v>
      </c>
      <c r="B565" t="s">
        <v>384</v>
      </c>
      <c r="C565" t="s">
        <v>275</v>
      </c>
      <c r="D565" t="s">
        <v>327</v>
      </c>
      <c r="E565" t="s">
        <v>381</v>
      </c>
      <c r="F565" t="s">
        <v>301</v>
      </c>
      <c r="G565" s="213">
        <v>109901</v>
      </c>
      <c r="H565" t="s">
        <v>309</v>
      </c>
      <c r="I565">
        <v>201</v>
      </c>
      <c r="J565" t="s">
        <v>304</v>
      </c>
      <c r="K565" t="s">
        <v>304</v>
      </c>
      <c r="L565" t="s">
        <v>305</v>
      </c>
      <c r="M565">
        <v>834550.36</v>
      </c>
      <c r="P565">
        <v>818000</v>
      </c>
      <c r="Q565" s="124">
        <f t="shared" si="60"/>
        <v>16550.359999999986</v>
      </c>
      <c r="R565" s="154"/>
    </row>
    <row r="566" spans="1:19" ht="15">
      <c r="A566" s="161" t="s">
        <v>296</v>
      </c>
      <c r="B566" t="s">
        <v>384</v>
      </c>
      <c r="C566" t="s">
        <v>275</v>
      </c>
      <c r="D566" t="s">
        <v>327</v>
      </c>
      <c r="E566" t="s">
        <v>381</v>
      </c>
      <c r="F566" t="s">
        <v>301</v>
      </c>
      <c r="G566" s="213">
        <v>109901</v>
      </c>
      <c r="H566" t="s">
        <v>309</v>
      </c>
      <c r="I566">
        <v>201</v>
      </c>
      <c r="J566" t="s">
        <v>332</v>
      </c>
      <c r="K566" t="s">
        <v>304</v>
      </c>
      <c r="L566" t="s">
        <v>305</v>
      </c>
      <c r="M566">
        <v>361.27</v>
      </c>
      <c r="P566">
        <v>0</v>
      </c>
      <c r="Q566" s="124">
        <f t="shared" si="60"/>
        <v>361.27</v>
      </c>
      <c r="R566" s="154"/>
    </row>
    <row r="567" spans="1:19" ht="15">
      <c r="A567" s="161" t="s">
        <v>296</v>
      </c>
      <c r="B567" t="s">
        <v>384</v>
      </c>
      <c r="C567" t="s">
        <v>275</v>
      </c>
      <c r="D567" t="s">
        <v>327</v>
      </c>
      <c r="E567" t="s">
        <v>381</v>
      </c>
      <c r="F567" t="s">
        <v>301</v>
      </c>
      <c r="G567" s="213">
        <v>109901</v>
      </c>
      <c r="H567" t="s">
        <v>309</v>
      </c>
      <c r="I567">
        <v>201</v>
      </c>
      <c r="J567" t="s">
        <v>351</v>
      </c>
      <c r="K567" t="s">
        <v>304</v>
      </c>
      <c r="L567" t="s">
        <v>305</v>
      </c>
      <c r="M567">
        <v>1512.54</v>
      </c>
      <c r="P567">
        <v>0</v>
      </c>
      <c r="Q567" s="124">
        <f t="shared" si="60"/>
        <v>1512.54</v>
      </c>
      <c r="R567" s="154"/>
    </row>
    <row r="568" spans="1:19" ht="15">
      <c r="A568" s="161" t="s">
        <v>296</v>
      </c>
      <c r="B568" t="s">
        <v>384</v>
      </c>
      <c r="C568" t="s">
        <v>275</v>
      </c>
      <c r="D568" t="s">
        <v>327</v>
      </c>
      <c r="E568" t="s">
        <v>381</v>
      </c>
      <c r="F568" t="s">
        <v>301</v>
      </c>
      <c r="G568" s="213">
        <v>109901</v>
      </c>
      <c r="H568" t="s">
        <v>309</v>
      </c>
      <c r="I568">
        <v>201</v>
      </c>
      <c r="J568" t="s">
        <v>357</v>
      </c>
      <c r="K568" t="s">
        <v>304</v>
      </c>
      <c r="L568" t="s">
        <v>305</v>
      </c>
      <c r="M568">
        <v>3240.27</v>
      </c>
      <c r="P568">
        <v>0</v>
      </c>
      <c r="Q568" s="124">
        <f t="shared" si="60"/>
        <v>3240.27</v>
      </c>
      <c r="R568" s="154"/>
    </row>
    <row r="569" spans="1:19" ht="15" hidden="1">
      <c r="A569" s="161" t="s">
        <v>296</v>
      </c>
      <c r="B569" s="201" t="s">
        <v>385</v>
      </c>
      <c r="C569" t="s">
        <v>386</v>
      </c>
      <c r="D569" t="s">
        <v>327</v>
      </c>
      <c r="E569" t="s">
        <v>381</v>
      </c>
      <c r="F569" t="s">
        <v>301</v>
      </c>
      <c r="G569">
        <v>101001</v>
      </c>
      <c r="H569" t="s">
        <v>329</v>
      </c>
      <c r="I569">
        <v>201</v>
      </c>
      <c r="J569" t="s">
        <v>304</v>
      </c>
      <c r="K569" t="s">
        <v>304</v>
      </c>
      <c r="L569" t="s">
        <v>305</v>
      </c>
      <c r="M569">
        <v>924275.41</v>
      </c>
      <c r="P569">
        <v>1293000</v>
      </c>
      <c r="R569" s="154"/>
      <c r="S569" s="236">
        <f>M569*$S$7*1.141*0</f>
        <v>0</v>
      </c>
    </row>
    <row r="570" spans="1:19" ht="15" hidden="1">
      <c r="A570" s="161" t="s">
        <v>296</v>
      </c>
      <c r="B570" s="201" t="s">
        <v>385</v>
      </c>
      <c r="C570" t="s">
        <v>386</v>
      </c>
      <c r="D570" t="s">
        <v>327</v>
      </c>
      <c r="E570" t="s">
        <v>381</v>
      </c>
      <c r="F570" t="s">
        <v>301</v>
      </c>
      <c r="G570">
        <v>101039</v>
      </c>
      <c r="H570" t="s">
        <v>312</v>
      </c>
      <c r="I570">
        <v>201</v>
      </c>
      <c r="J570" t="s">
        <v>304</v>
      </c>
      <c r="K570" t="s">
        <v>304</v>
      </c>
      <c r="L570" t="s">
        <v>305</v>
      </c>
      <c r="M570">
        <v>19687.02</v>
      </c>
      <c r="P570">
        <v>0</v>
      </c>
      <c r="R570" s="154"/>
      <c r="S570" s="236">
        <f t="shared" ref="S570:S577" si="62">M570*$S$7*1.141*0</f>
        <v>0</v>
      </c>
    </row>
    <row r="571" spans="1:19" ht="15" hidden="1">
      <c r="A571" s="161" t="s">
        <v>296</v>
      </c>
      <c r="B571" s="201" t="s">
        <v>385</v>
      </c>
      <c r="C571" t="s">
        <v>386</v>
      </c>
      <c r="D571" t="s">
        <v>327</v>
      </c>
      <c r="E571" t="s">
        <v>381</v>
      </c>
      <c r="F571" t="s">
        <v>301</v>
      </c>
      <c r="G571">
        <v>102003</v>
      </c>
      <c r="H571" t="s">
        <v>339</v>
      </c>
      <c r="I571">
        <v>201</v>
      </c>
      <c r="J571" t="s">
        <v>304</v>
      </c>
      <c r="K571" t="s">
        <v>304</v>
      </c>
      <c r="L571" t="s">
        <v>305</v>
      </c>
      <c r="M571">
        <v>20130.259999999998</v>
      </c>
      <c r="P571">
        <v>45000</v>
      </c>
      <c r="R571" s="154"/>
      <c r="S571" s="236">
        <f t="shared" si="62"/>
        <v>0</v>
      </c>
    </row>
    <row r="572" spans="1:19" ht="15" hidden="1">
      <c r="A572" s="161" t="s">
        <v>296</v>
      </c>
      <c r="B572" s="201" t="s">
        <v>385</v>
      </c>
      <c r="C572" t="s">
        <v>386</v>
      </c>
      <c r="D572" t="s">
        <v>327</v>
      </c>
      <c r="E572" t="s">
        <v>381</v>
      </c>
      <c r="F572" t="s">
        <v>301</v>
      </c>
      <c r="G572">
        <v>102062</v>
      </c>
      <c r="H572" t="s">
        <v>341</v>
      </c>
      <c r="I572">
        <v>201</v>
      </c>
      <c r="J572" t="s">
        <v>304</v>
      </c>
      <c r="K572" t="s">
        <v>304</v>
      </c>
      <c r="L572" t="s">
        <v>305</v>
      </c>
      <c r="M572">
        <v>35.840000000000003</v>
      </c>
      <c r="P572">
        <v>0</v>
      </c>
      <c r="R572" s="154"/>
      <c r="S572" s="236">
        <f t="shared" si="62"/>
        <v>0</v>
      </c>
    </row>
    <row r="573" spans="1:19" ht="15" hidden="1">
      <c r="A573" s="161" t="s">
        <v>296</v>
      </c>
      <c r="B573" s="201" t="s">
        <v>385</v>
      </c>
      <c r="C573" t="s">
        <v>386</v>
      </c>
      <c r="D573" t="s">
        <v>327</v>
      </c>
      <c r="E573" t="s">
        <v>381</v>
      </c>
      <c r="F573" t="s">
        <v>301</v>
      </c>
      <c r="G573">
        <v>103001</v>
      </c>
      <c r="H573" t="s">
        <v>342</v>
      </c>
      <c r="I573">
        <v>201</v>
      </c>
      <c r="J573" t="s">
        <v>304</v>
      </c>
      <c r="K573" t="s">
        <v>304</v>
      </c>
      <c r="L573" t="s">
        <v>305</v>
      </c>
      <c r="M573">
        <v>10540.48</v>
      </c>
      <c r="P573">
        <v>0</v>
      </c>
      <c r="R573" s="154"/>
      <c r="S573" s="236">
        <f t="shared" si="62"/>
        <v>0</v>
      </c>
    </row>
    <row r="574" spans="1:19" ht="15" hidden="1">
      <c r="A574" s="161" t="s">
        <v>296</v>
      </c>
      <c r="B574" s="201" t="s">
        <v>385</v>
      </c>
      <c r="C574" t="s">
        <v>386</v>
      </c>
      <c r="D574" t="s">
        <v>327</v>
      </c>
      <c r="E574" t="s">
        <v>381</v>
      </c>
      <c r="F574" t="s">
        <v>301</v>
      </c>
      <c r="G574">
        <v>104000</v>
      </c>
      <c r="H574" t="s">
        <v>345</v>
      </c>
      <c r="I574">
        <v>201</v>
      </c>
      <c r="J574" t="s">
        <v>304</v>
      </c>
      <c r="K574" t="s">
        <v>304</v>
      </c>
      <c r="L574" t="s">
        <v>305</v>
      </c>
      <c r="M574">
        <v>8521.5499999999993</v>
      </c>
      <c r="P574">
        <v>16000</v>
      </c>
      <c r="R574" s="154"/>
      <c r="S574" s="236">
        <f t="shared" si="62"/>
        <v>0</v>
      </c>
    </row>
    <row r="575" spans="1:19" ht="15" hidden="1">
      <c r="A575" s="161" t="s">
        <v>296</v>
      </c>
      <c r="B575" s="201" t="s">
        <v>385</v>
      </c>
      <c r="C575" t="s">
        <v>386</v>
      </c>
      <c r="D575" t="s">
        <v>327</v>
      </c>
      <c r="E575" t="s">
        <v>381</v>
      </c>
      <c r="F575" t="s">
        <v>301</v>
      </c>
      <c r="G575">
        <v>105025</v>
      </c>
      <c r="H575" t="s">
        <v>387</v>
      </c>
      <c r="I575">
        <v>201</v>
      </c>
      <c r="J575" t="s">
        <v>304</v>
      </c>
      <c r="K575" t="s">
        <v>304</v>
      </c>
      <c r="L575" t="s">
        <v>305</v>
      </c>
      <c r="M575">
        <v>201.71</v>
      </c>
      <c r="P575">
        <v>0</v>
      </c>
      <c r="R575" s="154"/>
      <c r="S575" s="236">
        <f t="shared" si="62"/>
        <v>0</v>
      </c>
    </row>
    <row r="576" spans="1:19" ht="15" hidden="1">
      <c r="A576" s="161" t="s">
        <v>296</v>
      </c>
      <c r="B576" s="201" t="s">
        <v>385</v>
      </c>
      <c r="C576" t="s">
        <v>386</v>
      </c>
      <c r="D576" t="s">
        <v>327</v>
      </c>
      <c r="E576" t="s">
        <v>381</v>
      </c>
      <c r="F576" t="s">
        <v>301</v>
      </c>
      <c r="G576">
        <v>105098</v>
      </c>
      <c r="H576" t="s">
        <v>302</v>
      </c>
      <c r="I576">
        <v>201</v>
      </c>
      <c r="J576" t="s">
        <v>331</v>
      </c>
      <c r="K576" t="s">
        <v>304</v>
      </c>
      <c r="L576" t="s">
        <v>305</v>
      </c>
      <c r="M576">
        <v>-4392</v>
      </c>
      <c r="P576">
        <v>0</v>
      </c>
      <c r="R576" s="154"/>
      <c r="S576" s="236">
        <f t="shared" si="62"/>
        <v>0</v>
      </c>
    </row>
    <row r="577" spans="1:19" ht="15" hidden="1">
      <c r="A577" s="161" t="s">
        <v>296</v>
      </c>
      <c r="B577" s="201" t="s">
        <v>385</v>
      </c>
      <c r="C577" t="s">
        <v>386</v>
      </c>
      <c r="D577" t="s">
        <v>327</v>
      </c>
      <c r="E577" t="s">
        <v>381</v>
      </c>
      <c r="F577" t="s">
        <v>301</v>
      </c>
      <c r="G577">
        <v>105099</v>
      </c>
      <c r="H577" t="s">
        <v>306</v>
      </c>
      <c r="I577">
        <v>201</v>
      </c>
      <c r="J577" t="s">
        <v>332</v>
      </c>
      <c r="K577" t="s">
        <v>304</v>
      </c>
      <c r="L577" t="s">
        <v>305</v>
      </c>
      <c r="M577">
        <v>4392</v>
      </c>
      <c r="P577">
        <v>0</v>
      </c>
      <c r="R577" s="154"/>
      <c r="S577" s="236">
        <f t="shared" si="62"/>
        <v>0</v>
      </c>
    </row>
    <row r="578" spans="1:19" ht="15" hidden="1">
      <c r="A578" s="161" t="s">
        <v>296</v>
      </c>
      <c r="B578" s="201" t="s">
        <v>385</v>
      </c>
      <c r="C578" t="s">
        <v>386</v>
      </c>
      <c r="D578" t="s">
        <v>327</v>
      </c>
      <c r="E578" t="s">
        <v>381</v>
      </c>
      <c r="F578" t="s">
        <v>301</v>
      </c>
      <c r="G578" s="213">
        <v>109001</v>
      </c>
      <c r="H578" t="s">
        <v>324</v>
      </c>
      <c r="I578">
        <v>201</v>
      </c>
      <c r="J578" t="s">
        <v>304</v>
      </c>
      <c r="K578" t="s">
        <v>304</v>
      </c>
      <c r="L578" t="s">
        <v>305</v>
      </c>
      <c r="M578">
        <v>90346.48</v>
      </c>
      <c r="P578">
        <v>127000</v>
      </c>
      <c r="Q578" s="124">
        <f t="shared" ref="Q578:Q580" si="63">M578-P578</f>
        <v>-36653.520000000004</v>
      </c>
      <c r="R578" s="237">
        <f>M578*-1.141*0</f>
        <v>0</v>
      </c>
    </row>
    <row r="579" spans="1:19" ht="15" hidden="1">
      <c r="A579" s="161" t="s">
        <v>296</v>
      </c>
      <c r="B579" s="201" t="s">
        <v>385</v>
      </c>
      <c r="C579" t="s">
        <v>386</v>
      </c>
      <c r="D579" t="s">
        <v>327</v>
      </c>
      <c r="E579" t="s">
        <v>381</v>
      </c>
      <c r="F579" t="s">
        <v>301</v>
      </c>
      <c r="G579" s="213">
        <v>109901</v>
      </c>
      <c r="H579" t="s">
        <v>309</v>
      </c>
      <c r="I579">
        <v>201</v>
      </c>
      <c r="J579" t="s">
        <v>304</v>
      </c>
      <c r="K579" t="s">
        <v>304</v>
      </c>
      <c r="L579" t="s">
        <v>305</v>
      </c>
      <c r="M579">
        <v>133707.63</v>
      </c>
      <c r="P579">
        <v>209000</v>
      </c>
      <c r="Q579" s="124">
        <f t="shared" si="63"/>
        <v>-75292.37</v>
      </c>
      <c r="R579" s="154"/>
    </row>
    <row r="580" spans="1:19" ht="15" hidden="1">
      <c r="A580" s="161" t="s">
        <v>296</v>
      </c>
      <c r="B580" s="201" t="s">
        <v>385</v>
      </c>
      <c r="C580" t="s">
        <v>386</v>
      </c>
      <c r="D580" t="s">
        <v>327</v>
      </c>
      <c r="E580" t="s">
        <v>381</v>
      </c>
      <c r="F580" t="s">
        <v>301</v>
      </c>
      <c r="G580" s="213">
        <v>109901</v>
      </c>
      <c r="H580" t="s">
        <v>309</v>
      </c>
      <c r="I580">
        <v>201</v>
      </c>
      <c r="J580" t="s">
        <v>332</v>
      </c>
      <c r="K580" t="s">
        <v>304</v>
      </c>
      <c r="L580" t="s">
        <v>305</v>
      </c>
      <c r="M580">
        <v>619.32000000000005</v>
      </c>
      <c r="P580">
        <v>0</v>
      </c>
      <c r="Q580" s="124">
        <f t="shared" si="63"/>
        <v>619.32000000000005</v>
      </c>
      <c r="R580" s="154"/>
    </row>
    <row r="581" spans="1:19" ht="15" hidden="1">
      <c r="A581" s="161" t="s">
        <v>296</v>
      </c>
      <c r="B581" s="201" t="s">
        <v>388</v>
      </c>
      <c r="C581" t="s">
        <v>389</v>
      </c>
      <c r="D581" t="s">
        <v>327</v>
      </c>
      <c r="E581" t="s">
        <v>381</v>
      </c>
      <c r="F581" t="s">
        <v>301</v>
      </c>
      <c r="G581">
        <v>101001</v>
      </c>
      <c r="H581" t="s">
        <v>329</v>
      </c>
      <c r="I581">
        <v>201</v>
      </c>
      <c r="J581" t="s">
        <v>304</v>
      </c>
      <c r="K581" t="s">
        <v>304</v>
      </c>
      <c r="L581" t="s">
        <v>305</v>
      </c>
      <c r="M581">
        <v>492645.93</v>
      </c>
      <c r="P581">
        <v>22000</v>
      </c>
      <c r="R581" s="154"/>
      <c r="S581" s="236">
        <f t="shared" ref="S581:S585" si="64">M581*$S$7*1.141*0</f>
        <v>0</v>
      </c>
    </row>
    <row r="582" spans="1:19" ht="15" hidden="1">
      <c r="A582" s="161" t="s">
        <v>296</v>
      </c>
      <c r="B582" s="201" t="s">
        <v>388</v>
      </c>
      <c r="C582" t="s">
        <v>389</v>
      </c>
      <c r="D582" t="s">
        <v>327</v>
      </c>
      <c r="E582" t="s">
        <v>381</v>
      </c>
      <c r="F582" t="s">
        <v>301</v>
      </c>
      <c r="G582">
        <v>101039</v>
      </c>
      <c r="H582" t="s">
        <v>312</v>
      </c>
      <c r="I582">
        <v>201</v>
      </c>
      <c r="J582" t="s">
        <v>304</v>
      </c>
      <c r="K582" t="s">
        <v>304</v>
      </c>
      <c r="L582" t="s">
        <v>305</v>
      </c>
      <c r="M582">
        <v>17709.099999999999</v>
      </c>
      <c r="P582">
        <v>0</v>
      </c>
      <c r="R582" s="154"/>
      <c r="S582" s="236">
        <f t="shared" si="64"/>
        <v>0</v>
      </c>
    </row>
    <row r="583" spans="1:19" ht="15" hidden="1">
      <c r="A583" s="161" t="s">
        <v>296</v>
      </c>
      <c r="B583" s="201" t="s">
        <v>388</v>
      </c>
      <c r="C583" t="s">
        <v>389</v>
      </c>
      <c r="D583" t="s">
        <v>327</v>
      </c>
      <c r="E583" t="s">
        <v>381</v>
      </c>
      <c r="F583" t="s">
        <v>301</v>
      </c>
      <c r="G583">
        <v>102062</v>
      </c>
      <c r="H583" t="s">
        <v>341</v>
      </c>
      <c r="I583">
        <v>201</v>
      </c>
      <c r="J583" t="s">
        <v>304</v>
      </c>
      <c r="K583" t="s">
        <v>304</v>
      </c>
      <c r="L583" t="s">
        <v>305</v>
      </c>
      <c r="M583">
        <v>402.34</v>
      </c>
      <c r="P583">
        <v>0</v>
      </c>
      <c r="R583" s="154"/>
      <c r="S583" s="236">
        <f t="shared" si="64"/>
        <v>0</v>
      </c>
    </row>
    <row r="584" spans="1:19" ht="15" hidden="1">
      <c r="A584" s="161" t="s">
        <v>296</v>
      </c>
      <c r="B584" s="201" t="s">
        <v>388</v>
      </c>
      <c r="C584" t="s">
        <v>389</v>
      </c>
      <c r="D584" t="s">
        <v>327</v>
      </c>
      <c r="E584" t="s">
        <v>381</v>
      </c>
      <c r="F584" t="s">
        <v>301</v>
      </c>
      <c r="G584">
        <v>103069</v>
      </c>
      <c r="H584" t="s">
        <v>344</v>
      </c>
      <c r="I584">
        <v>201</v>
      </c>
      <c r="J584" t="s">
        <v>304</v>
      </c>
      <c r="K584" t="s">
        <v>304</v>
      </c>
      <c r="L584" t="s">
        <v>305</v>
      </c>
      <c r="M584">
        <v>1442.8</v>
      </c>
      <c r="P584">
        <v>0</v>
      </c>
      <c r="R584" s="154"/>
      <c r="S584" s="236">
        <f t="shared" si="64"/>
        <v>0</v>
      </c>
    </row>
    <row r="585" spans="1:19" ht="15" hidden="1">
      <c r="A585" s="161" t="s">
        <v>296</v>
      </c>
      <c r="B585" s="201" t="s">
        <v>388</v>
      </c>
      <c r="C585" t="s">
        <v>389</v>
      </c>
      <c r="D585" t="s">
        <v>327</v>
      </c>
      <c r="E585" t="s">
        <v>381</v>
      </c>
      <c r="F585" t="s">
        <v>301</v>
      </c>
      <c r="G585">
        <v>104000</v>
      </c>
      <c r="H585" t="s">
        <v>345</v>
      </c>
      <c r="I585">
        <v>201</v>
      </c>
      <c r="J585" t="s">
        <v>304</v>
      </c>
      <c r="K585" t="s">
        <v>304</v>
      </c>
      <c r="L585" t="s">
        <v>305</v>
      </c>
      <c r="M585">
        <v>10144.73</v>
      </c>
      <c r="P585">
        <v>0</v>
      </c>
      <c r="R585" s="154"/>
      <c r="S585" s="236">
        <f t="shared" si="64"/>
        <v>0</v>
      </c>
    </row>
    <row r="586" spans="1:19" ht="15" hidden="1">
      <c r="A586" s="161" t="s">
        <v>296</v>
      </c>
      <c r="B586" s="201" t="s">
        <v>388</v>
      </c>
      <c r="C586" t="s">
        <v>389</v>
      </c>
      <c r="D586" t="s">
        <v>327</v>
      </c>
      <c r="E586" t="s">
        <v>381</v>
      </c>
      <c r="F586" t="s">
        <v>301</v>
      </c>
      <c r="G586" s="213">
        <v>109001</v>
      </c>
      <c r="H586" t="s">
        <v>324</v>
      </c>
      <c r="I586">
        <v>201</v>
      </c>
      <c r="J586" t="s">
        <v>304</v>
      </c>
      <c r="K586" t="s">
        <v>304</v>
      </c>
      <c r="L586" t="s">
        <v>305</v>
      </c>
      <c r="M586">
        <v>49046.89</v>
      </c>
      <c r="P586">
        <v>2000</v>
      </c>
      <c r="Q586" s="124">
        <f t="shared" ref="Q586:Q587" si="65">M586-P586</f>
        <v>47046.89</v>
      </c>
      <c r="R586" s="237">
        <f>M586*-1.141*0</f>
        <v>0</v>
      </c>
    </row>
    <row r="587" spans="1:19" ht="15" hidden="1">
      <c r="A587" s="161" t="s">
        <v>296</v>
      </c>
      <c r="B587" s="201" t="s">
        <v>388</v>
      </c>
      <c r="C587" t="s">
        <v>389</v>
      </c>
      <c r="D587" t="s">
        <v>327</v>
      </c>
      <c r="E587" t="s">
        <v>381</v>
      </c>
      <c r="F587" t="s">
        <v>301</v>
      </c>
      <c r="G587" s="213">
        <v>109901</v>
      </c>
      <c r="H587" t="s">
        <v>309</v>
      </c>
      <c r="I587">
        <v>201</v>
      </c>
      <c r="J587" t="s">
        <v>304</v>
      </c>
      <c r="K587" t="s">
        <v>304</v>
      </c>
      <c r="L587" t="s">
        <v>305</v>
      </c>
      <c r="M587">
        <v>79931.75</v>
      </c>
      <c r="P587">
        <v>3000</v>
      </c>
      <c r="Q587" s="124">
        <f t="shared" si="65"/>
        <v>76931.75</v>
      </c>
      <c r="R587" s="154"/>
    </row>
    <row r="588" spans="1:19" ht="15">
      <c r="A588" s="161" t="s">
        <v>296</v>
      </c>
      <c r="B588" t="s">
        <v>390</v>
      </c>
      <c r="C588" t="s">
        <v>391</v>
      </c>
      <c r="D588" t="s">
        <v>327</v>
      </c>
      <c r="E588" t="s">
        <v>381</v>
      </c>
      <c r="F588" t="s">
        <v>301</v>
      </c>
      <c r="G588">
        <v>101001</v>
      </c>
      <c r="H588" t="s">
        <v>329</v>
      </c>
      <c r="I588">
        <v>201</v>
      </c>
      <c r="J588" t="s">
        <v>304</v>
      </c>
      <c r="K588" t="s">
        <v>304</v>
      </c>
      <c r="L588" t="s">
        <v>305</v>
      </c>
      <c r="M588">
        <v>3268599.29</v>
      </c>
      <c r="P588">
        <v>3246000</v>
      </c>
      <c r="R588" s="154"/>
      <c r="S588" s="73">
        <f t="shared" ref="S588:S598" si="66">M588*$S$7*1.141</f>
        <v>372947.17898900004</v>
      </c>
    </row>
    <row r="589" spans="1:19" ht="15">
      <c r="A589" s="161" t="s">
        <v>296</v>
      </c>
      <c r="B589" t="s">
        <v>390</v>
      </c>
      <c r="C589" t="s">
        <v>391</v>
      </c>
      <c r="D589" t="s">
        <v>327</v>
      </c>
      <c r="E589" t="s">
        <v>381</v>
      </c>
      <c r="F589" t="s">
        <v>301</v>
      </c>
      <c r="G589">
        <v>101039</v>
      </c>
      <c r="H589" t="s">
        <v>312</v>
      </c>
      <c r="I589">
        <v>201</v>
      </c>
      <c r="J589" t="s">
        <v>304</v>
      </c>
      <c r="K589" t="s">
        <v>304</v>
      </c>
      <c r="L589" t="s">
        <v>305</v>
      </c>
      <c r="M589">
        <v>100824.75</v>
      </c>
      <c r="P589">
        <v>0</v>
      </c>
      <c r="R589" s="154"/>
      <c r="S589" s="73">
        <f t="shared" si="66"/>
        <v>11504.103975</v>
      </c>
    </row>
    <row r="590" spans="1:19" ht="15">
      <c r="A590" s="161" t="s">
        <v>296</v>
      </c>
      <c r="B590" t="s">
        <v>390</v>
      </c>
      <c r="C590" t="s">
        <v>391</v>
      </c>
      <c r="D590" t="s">
        <v>327</v>
      </c>
      <c r="E590" t="s">
        <v>381</v>
      </c>
      <c r="F590" t="s">
        <v>301</v>
      </c>
      <c r="G590">
        <v>102002</v>
      </c>
      <c r="H590" t="s">
        <v>338</v>
      </c>
      <c r="I590">
        <v>201</v>
      </c>
      <c r="J590" t="s">
        <v>304</v>
      </c>
      <c r="K590" t="s">
        <v>304</v>
      </c>
      <c r="L590" t="s">
        <v>305</v>
      </c>
      <c r="M590">
        <v>4283.92</v>
      </c>
      <c r="P590">
        <v>0</v>
      </c>
      <c r="R590" s="154"/>
      <c r="S590" s="73">
        <f t="shared" si="66"/>
        <v>488.79527200000007</v>
      </c>
    </row>
    <row r="591" spans="1:19" ht="15">
      <c r="A591" s="161" t="s">
        <v>296</v>
      </c>
      <c r="B591" t="s">
        <v>390</v>
      </c>
      <c r="C591" t="s">
        <v>391</v>
      </c>
      <c r="D591" t="s">
        <v>327</v>
      </c>
      <c r="E591" t="s">
        <v>381</v>
      </c>
      <c r="F591" t="s">
        <v>301</v>
      </c>
      <c r="G591">
        <v>102003</v>
      </c>
      <c r="H591" t="s">
        <v>339</v>
      </c>
      <c r="I591">
        <v>201</v>
      </c>
      <c r="J591" t="s">
        <v>304</v>
      </c>
      <c r="K591" t="s">
        <v>304</v>
      </c>
      <c r="L591" t="s">
        <v>305</v>
      </c>
      <c r="M591">
        <v>288570.89</v>
      </c>
      <c r="P591">
        <v>140000</v>
      </c>
      <c r="R591" s="154"/>
      <c r="S591" s="73">
        <f t="shared" si="66"/>
        <v>32925.938549000006</v>
      </c>
    </row>
    <row r="592" spans="1:19" ht="15">
      <c r="A592" s="161" t="s">
        <v>296</v>
      </c>
      <c r="B592" t="s">
        <v>390</v>
      </c>
      <c r="C592" t="s">
        <v>391</v>
      </c>
      <c r="D592" t="s">
        <v>327</v>
      </c>
      <c r="E592" t="s">
        <v>381</v>
      </c>
      <c r="F592" t="s">
        <v>301</v>
      </c>
      <c r="G592">
        <v>102062</v>
      </c>
      <c r="H592" t="s">
        <v>341</v>
      </c>
      <c r="I592">
        <v>201</v>
      </c>
      <c r="J592" t="s">
        <v>304</v>
      </c>
      <c r="K592" t="s">
        <v>304</v>
      </c>
      <c r="L592" t="s">
        <v>305</v>
      </c>
      <c r="M592">
        <v>1971.2</v>
      </c>
      <c r="P592">
        <v>0</v>
      </c>
      <c r="R592" s="154"/>
      <c r="S592" s="73">
        <f t="shared" si="66"/>
        <v>224.91392000000002</v>
      </c>
    </row>
    <row r="593" spans="1:19" ht="15">
      <c r="A593" s="161" t="s">
        <v>296</v>
      </c>
      <c r="B593" t="s">
        <v>390</v>
      </c>
      <c r="C593" t="s">
        <v>391</v>
      </c>
      <c r="D593" t="s">
        <v>327</v>
      </c>
      <c r="E593" t="s">
        <v>381</v>
      </c>
      <c r="F593" t="s">
        <v>301</v>
      </c>
      <c r="G593">
        <v>103062</v>
      </c>
      <c r="H593" t="s">
        <v>343</v>
      </c>
      <c r="I593">
        <v>201</v>
      </c>
      <c r="J593" t="s">
        <v>304</v>
      </c>
      <c r="K593" t="s">
        <v>304</v>
      </c>
      <c r="L593" t="s">
        <v>305</v>
      </c>
      <c r="M593">
        <v>107.52</v>
      </c>
      <c r="P593">
        <v>0</v>
      </c>
      <c r="R593" s="154"/>
      <c r="S593" s="73">
        <f t="shared" si="66"/>
        <v>12.268032000000002</v>
      </c>
    </row>
    <row r="594" spans="1:19" ht="15">
      <c r="A594" s="161" t="s">
        <v>296</v>
      </c>
      <c r="B594" t="s">
        <v>390</v>
      </c>
      <c r="C594" t="s">
        <v>391</v>
      </c>
      <c r="D594" t="s">
        <v>327</v>
      </c>
      <c r="E594" t="s">
        <v>381</v>
      </c>
      <c r="F594" t="s">
        <v>301</v>
      </c>
      <c r="G594">
        <v>103069</v>
      </c>
      <c r="H594" t="s">
        <v>344</v>
      </c>
      <c r="I594">
        <v>201</v>
      </c>
      <c r="J594" t="s">
        <v>304</v>
      </c>
      <c r="K594" t="s">
        <v>304</v>
      </c>
      <c r="L594" t="s">
        <v>305</v>
      </c>
      <c r="M594">
        <v>1911.31</v>
      </c>
      <c r="P594">
        <v>0</v>
      </c>
      <c r="R594" s="154"/>
      <c r="S594" s="73">
        <f t="shared" si="66"/>
        <v>218.08047100000002</v>
      </c>
    </row>
    <row r="595" spans="1:19" ht="15">
      <c r="A595" s="161" t="s">
        <v>296</v>
      </c>
      <c r="B595" t="s">
        <v>390</v>
      </c>
      <c r="C595" t="s">
        <v>391</v>
      </c>
      <c r="D595" t="s">
        <v>327</v>
      </c>
      <c r="E595" t="s">
        <v>381</v>
      </c>
      <c r="F595" t="s">
        <v>301</v>
      </c>
      <c r="G595">
        <v>104000</v>
      </c>
      <c r="H595" t="s">
        <v>345</v>
      </c>
      <c r="I595">
        <v>201</v>
      </c>
      <c r="J595" t="s">
        <v>304</v>
      </c>
      <c r="K595" t="s">
        <v>304</v>
      </c>
      <c r="L595" t="s">
        <v>305</v>
      </c>
      <c r="M595">
        <v>25166.17</v>
      </c>
      <c r="P595">
        <v>34000</v>
      </c>
      <c r="R595" s="154"/>
      <c r="S595" s="73">
        <f t="shared" si="66"/>
        <v>2871.4599970000004</v>
      </c>
    </row>
    <row r="596" spans="1:19" ht="15">
      <c r="A596" s="161" t="s">
        <v>296</v>
      </c>
      <c r="B596" t="s">
        <v>390</v>
      </c>
      <c r="C596" t="s">
        <v>391</v>
      </c>
      <c r="D596" t="s">
        <v>327</v>
      </c>
      <c r="E596" t="s">
        <v>381</v>
      </c>
      <c r="F596" t="s">
        <v>301</v>
      </c>
      <c r="G596">
        <v>105003</v>
      </c>
      <c r="H596" t="s">
        <v>346</v>
      </c>
      <c r="I596">
        <v>201</v>
      </c>
      <c r="J596" t="s">
        <v>304</v>
      </c>
      <c r="K596" t="s">
        <v>304</v>
      </c>
      <c r="L596" t="s">
        <v>305</v>
      </c>
      <c r="M596">
        <v>61221.99</v>
      </c>
      <c r="P596">
        <v>0</v>
      </c>
      <c r="R596" s="154"/>
      <c r="S596" s="73">
        <f t="shared" si="66"/>
        <v>6985.429059000001</v>
      </c>
    </row>
    <row r="597" spans="1:19" ht="15">
      <c r="A597" s="161" t="s">
        <v>296</v>
      </c>
      <c r="B597" t="s">
        <v>390</v>
      </c>
      <c r="C597" t="s">
        <v>391</v>
      </c>
      <c r="D597" t="s">
        <v>327</v>
      </c>
      <c r="E597" t="s">
        <v>381</v>
      </c>
      <c r="F597" t="s">
        <v>301</v>
      </c>
      <c r="G597">
        <v>105010</v>
      </c>
      <c r="H597" t="s">
        <v>347</v>
      </c>
      <c r="I597">
        <v>201</v>
      </c>
      <c r="J597" t="s">
        <v>304</v>
      </c>
      <c r="K597" t="s">
        <v>304</v>
      </c>
      <c r="L597" t="s">
        <v>305</v>
      </c>
      <c r="M597">
        <v>1256.48</v>
      </c>
      <c r="P597">
        <v>0</v>
      </c>
      <c r="R597" s="154"/>
      <c r="S597" s="73">
        <f t="shared" si="66"/>
        <v>143.36436800000001</v>
      </c>
    </row>
    <row r="598" spans="1:19" ht="15">
      <c r="A598" s="161" t="s">
        <v>296</v>
      </c>
      <c r="B598" t="s">
        <v>390</v>
      </c>
      <c r="C598" t="s">
        <v>391</v>
      </c>
      <c r="D598" t="s">
        <v>327</v>
      </c>
      <c r="E598" t="s">
        <v>381</v>
      </c>
      <c r="F598" t="s">
        <v>301</v>
      </c>
      <c r="G598">
        <v>105019</v>
      </c>
      <c r="H598" t="s">
        <v>348</v>
      </c>
      <c r="I598">
        <v>201</v>
      </c>
      <c r="J598" t="s">
        <v>304</v>
      </c>
      <c r="K598" t="s">
        <v>304</v>
      </c>
      <c r="L598" t="s">
        <v>305</v>
      </c>
      <c r="M598">
        <v>25.2</v>
      </c>
      <c r="P598">
        <v>0</v>
      </c>
      <c r="R598" s="154"/>
      <c r="S598" s="73">
        <f t="shared" si="66"/>
        <v>2.8753199999999999</v>
      </c>
    </row>
    <row r="599" spans="1:19" ht="15">
      <c r="A599" s="161" t="s">
        <v>296</v>
      </c>
      <c r="B599" t="s">
        <v>390</v>
      </c>
      <c r="C599" t="s">
        <v>391</v>
      </c>
      <c r="D599" t="s">
        <v>327</v>
      </c>
      <c r="E599" t="s">
        <v>381</v>
      </c>
      <c r="F599" t="s">
        <v>301</v>
      </c>
      <c r="G599" s="213">
        <v>109001</v>
      </c>
      <c r="H599" t="s">
        <v>324</v>
      </c>
      <c r="I599">
        <v>201</v>
      </c>
      <c r="J599" t="s">
        <v>304</v>
      </c>
      <c r="K599" t="s">
        <v>304</v>
      </c>
      <c r="L599" t="s">
        <v>305</v>
      </c>
      <c r="M599">
        <v>330705.07</v>
      </c>
      <c r="P599">
        <v>321000</v>
      </c>
      <c r="Q599" s="124">
        <f t="shared" ref="Q599:Q600" si="67">M599-P599</f>
        <v>9705.070000000007</v>
      </c>
      <c r="R599" s="124">
        <f>M599*-1.141</f>
        <v>-377334.48486999999</v>
      </c>
    </row>
    <row r="600" spans="1:19" ht="15">
      <c r="A600" s="161" t="s">
        <v>296</v>
      </c>
      <c r="B600" t="s">
        <v>390</v>
      </c>
      <c r="C600" t="s">
        <v>391</v>
      </c>
      <c r="D600" t="s">
        <v>327</v>
      </c>
      <c r="E600" t="s">
        <v>381</v>
      </c>
      <c r="F600" t="s">
        <v>301</v>
      </c>
      <c r="G600" s="213">
        <v>109901</v>
      </c>
      <c r="H600" t="s">
        <v>309</v>
      </c>
      <c r="I600">
        <v>201</v>
      </c>
      <c r="J600" t="s">
        <v>304</v>
      </c>
      <c r="K600" t="s">
        <v>304</v>
      </c>
      <c r="L600" t="s">
        <v>305</v>
      </c>
      <c r="M600">
        <v>523261.18</v>
      </c>
      <c r="P600">
        <v>529000</v>
      </c>
      <c r="Q600" s="124">
        <f t="shared" si="67"/>
        <v>-5738.820000000007</v>
      </c>
      <c r="R600" s="154"/>
    </row>
    <row r="601" spans="1:19" ht="15" hidden="1">
      <c r="A601" s="161" t="s">
        <v>296</v>
      </c>
      <c r="B601" s="201" t="s">
        <v>392</v>
      </c>
      <c r="C601" t="s">
        <v>393</v>
      </c>
      <c r="D601" t="s">
        <v>394</v>
      </c>
      <c r="E601" t="s">
        <v>395</v>
      </c>
      <c r="F601" t="s">
        <v>301</v>
      </c>
      <c r="G601">
        <v>102003</v>
      </c>
      <c r="H601" t="s">
        <v>339</v>
      </c>
      <c r="I601">
        <v>201</v>
      </c>
      <c r="J601" t="s">
        <v>304</v>
      </c>
      <c r="K601" t="s">
        <v>304</v>
      </c>
      <c r="L601" t="s">
        <v>305</v>
      </c>
      <c r="M601">
        <v>1432.16</v>
      </c>
      <c r="P601">
        <v>0</v>
      </c>
      <c r="R601" s="154"/>
      <c r="S601" s="236">
        <f>M601*$S$7*1.141*0</f>
        <v>0</v>
      </c>
    </row>
    <row r="602" spans="1:19" ht="15" hidden="1">
      <c r="A602" s="161" t="s">
        <v>296</v>
      </c>
      <c r="B602" s="201" t="s">
        <v>392</v>
      </c>
      <c r="C602" t="s">
        <v>393</v>
      </c>
      <c r="D602" t="s">
        <v>394</v>
      </c>
      <c r="E602" t="s">
        <v>395</v>
      </c>
      <c r="F602" t="s">
        <v>301</v>
      </c>
      <c r="G602">
        <v>102062</v>
      </c>
      <c r="H602" t="s">
        <v>341</v>
      </c>
      <c r="I602">
        <v>201</v>
      </c>
      <c r="J602" t="s">
        <v>304</v>
      </c>
      <c r="K602" t="s">
        <v>304</v>
      </c>
      <c r="L602" t="s">
        <v>305</v>
      </c>
      <c r="M602">
        <v>179.2</v>
      </c>
      <c r="P602">
        <v>0</v>
      </c>
      <c r="R602" s="154"/>
      <c r="S602" s="236">
        <f t="shared" ref="S602:S604" si="68">M602*$S$7*1.141*0</f>
        <v>0</v>
      </c>
    </row>
    <row r="603" spans="1:19" ht="15" hidden="1">
      <c r="A603" s="161" t="s">
        <v>296</v>
      </c>
      <c r="B603" s="201" t="s">
        <v>392</v>
      </c>
      <c r="C603" t="s">
        <v>393</v>
      </c>
      <c r="D603" t="s">
        <v>394</v>
      </c>
      <c r="E603" t="s">
        <v>395</v>
      </c>
      <c r="F603" t="s">
        <v>301</v>
      </c>
      <c r="G603">
        <v>103001</v>
      </c>
      <c r="H603" t="s">
        <v>342</v>
      </c>
      <c r="I603">
        <v>201</v>
      </c>
      <c r="J603" t="s">
        <v>304</v>
      </c>
      <c r="K603" t="s">
        <v>304</v>
      </c>
      <c r="L603" t="s">
        <v>305</v>
      </c>
      <c r="M603">
        <v>2773.55</v>
      </c>
      <c r="P603">
        <v>0</v>
      </c>
      <c r="R603" s="154"/>
      <c r="S603" s="236">
        <f t="shared" si="68"/>
        <v>0</v>
      </c>
    </row>
    <row r="604" spans="1:19" ht="15" hidden="1">
      <c r="A604" s="161" t="s">
        <v>296</v>
      </c>
      <c r="B604" s="201" t="s">
        <v>392</v>
      </c>
      <c r="C604" t="s">
        <v>393</v>
      </c>
      <c r="D604" t="s">
        <v>394</v>
      </c>
      <c r="E604" t="s">
        <v>395</v>
      </c>
      <c r="F604" t="s">
        <v>301</v>
      </c>
      <c r="G604">
        <v>103060</v>
      </c>
      <c r="H604" t="s">
        <v>396</v>
      </c>
      <c r="I604">
        <v>201</v>
      </c>
      <c r="J604" t="s">
        <v>304</v>
      </c>
      <c r="K604" t="s">
        <v>304</v>
      </c>
      <c r="L604" t="s">
        <v>305</v>
      </c>
      <c r="M604">
        <v>1097.5999999999999</v>
      </c>
      <c r="P604">
        <v>0</v>
      </c>
      <c r="R604" s="154"/>
      <c r="S604" s="236">
        <f t="shared" si="68"/>
        <v>0</v>
      </c>
    </row>
    <row r="605" spans="1:19" ht="15">
      <c r="A605" s="161" t="s">
        <v>296</v>
      </c>
      <c r="B605" t="s">
        <v>392</v>
      </c>
      <c r="C605" t="s">
        <v>393</v>
      </c>
      <c r="D605" t="s">
        <v>394</v>
      </c>
      <c r="E605" t="s">
        <v>395</v>
      </c>
      <c r="F605" t="s">
        <v>301</v>
      </c>
      <c r="G605" s="213">
        <v>109001</v>
      </c>
      <c r="H605" t="s">
        <v>324</v>
      </c>
      <c r="I605">
        <v>201</v>
      </c>
      <c r="J605" t="s">
        <v>304</v>
      </c>
      <c r="K605" t="s">
        <v>304</v>
      </c>
      <c r="L605" t="s">
        <v>305</v>
      </c>
      <c r="M605">
        <v>398.52</v>
      </c>
      <c r="P605">
        <v>0</v>
      </c>
      <c r="Q605" s="124">
        <f>M605-P605*0</f>
        <v>398.52</v>
      </c>
      <c r="R605" s="237">
        <f>M605*-1.141*0</f>
        <v>0</v>
      </c>
    </row>
    <row r="606" spans="1:19" ht="15">
      <c r="A606" s="161" t="s">
        <v>296</v>
      </c>
      <c r="B606" t="s">
        <v>392</v>
      </c>
      <c r="C606" t="s">
        <v>393</v>
      </c>
      <c r="D606" t="s">
        <v>394</v>
      </c>
      <c r="E606" t="s">
        <v>395</v>
      </c>
      <c r="F606" t="s">
        <v>301</v>
      </c>
      <c r="G606" s="213">
        <v>109901</v>
      </c>
      <c r="H606" t="s">
        <v>309</v>
      </c>
      <c r="I606">
        <v>201</v>
      </c>
      <c r="J606" t="s">
        <v>304</v>
      </c>
      <c r="K606" t="s">
        <v>304</v>
      </c>
      <c r="L606" t="s">
        <v>305</v>
      </c>
      <c r="M606">
        <v>829.24</v>
      </c>
      <c r="P606">
        <v>0</v>
      </c>
      <c r="Q606" s="124">
        <f t="shared" ref="Q606" si="69">M606-P606</f>
        <v>829.24</v>
      </c>
      <c r="R606" s="154"/>
    </row>
    <row r="607" spans="1:19" ht="15">
      <c r="A607" s="161" t="s">
        <v>296</v>
      </c>
      <c r="B607" t="s">
        <v>397</v>
      </c>
      <c r="C607" t="s">
        <v>398</v>
      </c>
      <c r="D607" t="s">
        <v>399</v>
      </c>
      <c r="E607" t="s">
        <v>400</v>
      </c>
      <c r="F607" t="s">
        <v>301</v>
      </c>
      <c r="G607">
        <v>101001</v>
      </c>
      <c r="H607" t="s">
        <v>329</v>
      </c>
      <c r="I607">
        <v>221</v>
      </c>
      <c r="J607" t="s">
        <v>304</v>
      </c>
      <c r="K607" t="s">
        <v>304</v>
      </c>
      <c r="L607" t="s">
        <v>305</v>
      </c>
      <c r="M607">
        <v>535224.31000000006</v>
      </c>
      <c r="P607">
        <v>481000</v>
      </c>
      <c r="R607" s="154"/>
      <c r="S607" s="73">
        <f t="shared" ref="S607:S620" si="70">M607*$S$7*1.141</f>
        <v>61069.093771000014</v>
      </c>
    </row>
    <row r="608" spans="1:19" ht="15">
      <c r="A608" s="161" t="s">
        <v>296</v>
      </c>
      <c r="B608" t="s">
        <v>397</v>
      </c>
      <c r="C608" t="s">
        <v>398</v>
      </c>
      <c r="D608" t="s">
        <v>399</v>
      </c>
      <c r="E608" t="s">
        <v>400</v>
      </c>
      <c r="F608" t="s">
        <v>301</v>
      </c>
      <c r="G608">
        <v>101039</v>
      </c>
      <c r="H608" t="s">
        <v>312</v>
      </c>
      <c r="I608">
        <v>221</v>
      </c>
      <c r="J608" t="s">
        <v>304</v>
      </c>
      <c r="K608" t="s">
        <v>304</v>
      </c>
      <c r="L608" t="s">
        <v>305</v>
      </c>
      <c r="M608">
        <v>7840</v>
      </c>
      <c r="P608">
        <v>0</v>
      </c>
      <c r="R608" s="154"/>
      <c r="S608" s="73">
        <f t="shared" si="70"/>
        <v>894.54399999999998</v>
      </c>
    </row>
    <row r="609" spans="1:19" ht="15">
      <c r="A609" s="161" t="s">
        <v>296</v>
      </c>
      <c r="B609" t="s">
        <v>397</v>
      </c>
      <c r="C609" t="s">
        <v>398</v>
      </c>
      <c r="D609" t="s">
        <v>399</v>
      </c>
      <c r="E609" t="s">
        <v>400</v>
      </c>
      <c r="F609" t="s">
        <v>301</v>
      </c>
      <c r="G609">
        <v>101039</v>
      </c>
      <c r="H609" t="s">
        <v>312</v>
      </c>
      <c r="I609">
        <v>221</v>
      </c>
      <c r="J609" t="s">
        <v>304</v>
      </c>
      <c r="K609" t="s">
        <v>401</v>
      </c>
      <c r="L609" t="s">
        <v>305</v>
      </c>
      <c r="M609">
        <v>1120</v>
      </c>
      <c r="P609">
        <v>0</v>
      </c>
      <c r="R609" s="154"/>
      <c r="S609" s="73">
        <f t="shared" si="70"/>
        <v>127.792</v>
      </c>
    </row>
    <row r="610" spans="1:19" ht="15">
      <c r="A610" s="161" t="s">
        <v>296</v>
      </c>
      <c r="B610" t="s">
        <v>397</v>
      </c>
      <c r="C610" t="s">
        <v>398</v>
      </c>
      <c r="D610" t="s">
        <v>399</v>
      </c>
      <c r="E610" t="s">
        <v>400</v>
      </c>
      <c r="F610" t="s">
        <v>301</v>
      </c>
      <c r="G610">
        <v>101039</v>
      </c>
      <c r="H610" t="s">
        <v>312</v>
      </c>
      <c r="I610">
        <v>221</v>
      </c>
      <c r="J610" t="s">
        <v>304</v>
      </c>
      <c r="K610" t="s">
        <v>402</v>
      </c>
      <c r="L610" t="s">
        <v>305</v>
      </c>
      <c r="M610">
        <v>1120</v>
      </c>
      <c r="P610">
        <v>0</v>
      </c>
      <c r="R610" s="154"/>
      <c r="S610" s="73">
        <f t="shared" si="70"/>
        <v>127.792</v>
      </c>
    </row>
    <row r="611" spans="1:19" ht="15">
      <c r="A611" s="161" t="s">
        <v>296</v>
      </c>
      <c r="B611" t="s">
        <v>397</v>
      </c>
      <c r="C611" t="s">
        <v>398</v>
      </c>
      <c r="D611" t="s">
        <v>399</v>
      </c>
      <c r="E611" t="s">
        <v>400</v>
      </c>
      <c r="F611" t="s">
        <v>301</v>
      </c>
      <c r="G611">
        <v>102062</v>
      </c>
      <c r="H611" t="s">
        <v>341</v>
      </c>
      <c r="I611">
        <v>221</v>
      </c>
      <c r="J611" t="s">
        <v>304</v>
      </c>
      <c r="K611" t="s">
        <v>304</v>
      </c>
      <c r="L611" t="s">
        <v>305</v>
      </c>
      <c r="M611">
        <v>526.85</v>
      </c>
      <c r="P611">
        <v>0</v>
      </c>
      <c r="R611" s="154"/>
      <c r="S611" s="73">
        <f t="shared" si="70"/>
        <v>60.113585</v>
      </c>
    </row>
    <row r="612" spans="1:19" ht="15">
      <c r="A612" s="161" t="s">
        <v>296</v>
      </c>
      <c r="B612" t="s">
        <v>397</v>
      </c>
      <c r="C612" t="s">
        <v>398</v>
      </c>
      <c r="D612" t="s">
        <v>399</v>
      </c>
      <c r="E612" t="s">
        <v>400</v>
      </c>
      <c r="F612" t="s">
        <v>301</v>
      </c>
      <c r="G612">
        <v>104000</v>
      </c>
      <c r="H612" t="s">
        <v>345</v>
      </c>
      <c r="I612">
        <v>221</v>
      </c>
      <c r="J612" t="s">
        <v>304</v>
      </c>
      <c r="K612" t="s">
        <v>304</v>
      </c>
      <c r="L612" t="s">
        <v>305</v>
      </c>
      <c r="M612">
        <v>34089.4</v>
      </c>
      <c r="P612">
        <v>2000</v>
      </c>
      <c r="R612" s="154"/>
      <c r="S612" s="73">
        <f t="shared" si="70"/>
        <v>3889.6005400000008</v>
      </c>
    </row>
    <row r="613" spans="1:19" ht="15">
      <c r="A613" s="161" t="s">
        <v>296</v>
      </c>
      <c r="B613" t="s">
        <v>397</v>
      </c>
      <c r="C613" t="s">
        <v>398</v>
      </c>
      <c r="D613" t="s">
        <v>399</v>
      </c>
      <c r="E613" t="s">
        <v>400</v>
      </c>
      <c r="F613" t="s">
        <v>301</v>
      </c>
      <c r="G613">
        <v>104000</v>
      </c>
      <c r="H613" t="s">
        <v>345</v>
      </c>
      <c r="I613">
        <v>221</v>
      </c>
      <c r="J613" t="s">
        <v>304</v>
      </c>
      <c r="K613" t="s">
        <v>401</v>
      </c>
      <c r="L613" t="s">
        <v>305</v>
      </c>
      <c r="M613">
        <v>1296.29</v>
      </c>
      <c r="P613">
        <v>0</v>
      </c>
      <c r="R613" s="154"/>
      <c r="S613" s="73">
        <f t="shared" si="70"/>
        <v>147.906689</v>
      </c>
    </row>
    <row r="614" spans="1:19" ht="15">
      <c r="A614" s="161" t="s">
        <v>296</v>
      </c>
      <c r="B614" t="s">
        <v>397</v>
      </c>
      <c r="C614" t="s">
        <v>398</v>
      </c>
      <c r="D614" t="s">
        <v>399</v>
      </c>
      <c r="E614" t="s">
        <v>400</v>
      </c>
      <c r="F614" t="s">
        <v>301</v>
      </c>
      <c r="G614">
        <v>104000</v>
      </c>
      <c r="H614" t="s">
        <v>345</v>
      </c>
      <c r="I614">
        <v>221</v>
      </c>
      <c r="J614" t="s">
        <v>304</v>
      </c>
      <c r="K614" t="s">
        <v>402</v>
      </c>
      <c r="L614" t="s">
        <v>305</v>
      </c>
      <c r="M614">
        <v>925.37</v>
      </c>
      <c r="P614">
        <v>0</v>
      </c>
      <c r="R614" s="154"/>
      <c r="S614" s="73">
        <f t="shared" si="70"/>
        <v>105.58471700000001</v>
      </c>
    </row>
    <row r="615" spans="1:19" ht="15">
      <c r="A615" s="161" t="s">
        <v>296</v>
      </c>
      <c r="B615" t="s">
        <v>397</v>
      </c>
      <c r="C615" t="s">
        <v>398</v>
      </c>
      <c r="D615" t="s">
        <v>399</v>
      </c>
      <c r="E615" t="s">
        <v>400</v>
      </c>
      <c r="F615" t="s">
        <v>301</v>
      </c>
      <c r="G615">
        <v>104000</v>
      </c>
      <c r="H615" t="s">
        <v>345</v>
      </c>
      <c r="I615">
        <v>221</v>
      </c>
      <c r="J615" t="s">
        <v>304</v>
      </c>
      <c r="K615" t="s">
        <v>403</v>
      </c>
      <c r="L615" t="s">
        <v>305</v>
      </c>
      <c r="M615">
        <v>972.23</v>
      </c>
      <c r="P615">
        <v>0</v>
      </c>
      <c r="R615" s="154"/>
      <c r="S615" s="73">
        <f t="shared" si="70"/>
        <v>110.93144300000002</v>
      </c>
    </row>
    <row r="616" spans="1:19" ht="15">
      <c r="A616" s="161" t="s">
        <v>296</v>
      </c>
      <c r="B616" t="s">
        <v>397</v>
      </c>
      <c r="C616" t="s">
        <v>398</v>
      </c>
      <c r="D616" t="s">
        <v>399</v>
      </c>
      <c r="E616" t="s">
        <v>400</v>
      </c>
      <c r="F616" t="s">
        <v>301</v>
      </c>
      <c r="G616">
        <v>104000</v>
      </c>
      <c r="H616" t="s">
        <v>345</v>
      </c>
      <c r="I616">
        <v>221</v>
      </c>
      <c r="J616" t="s">
        <v>304</v>
      </c>
      <c r="K616" t="s">
        <v>404</v>
      </c>
      <c r="L616" t="s">
        <v>305</v>
      </c>
      <c r="M616">
        <v>1850.72</v>
      </c>
      <c r="P616">
        <v>0</v>
      </c>
      <c r="R616" s="154"/>
      <c r="S616" s="73">
        <f t="shared" si="70"/>
        <v>211.16715200000002</v>
      </c>
    </row>
    <row r="617" spans="1:19" ht="15">
      <c r="A617" s="161" t="s">
        <v>296</v>
      </c>
      <c r="B617" t="s">
        <v>397</v>
      </c>
      <c r="C617" t="s">
        <v>398</v>
      </c>
      <c r="D617" t="s">
        <v>399</v>
      </c>
      <c r="E617" t="s">
        <v>400</v>
      </c>
      <c r="F617" t="s">
        <v>301</v>
      </c>
      <c r="G617">
        <v>105098</v>
      </c>
      <c r="H617" t="s">
        <v>302</v>
      </c>
      <c r="I617">
        <v>221</v>
      </c>
      <c r="J617" t="s">
        <v>331</v>
      </c>
      <c r="K617" t="s">
        <v>304</v>
      </c>
      <c r="L617" t="s">
        <v>305</v>
      </c>
      <c r="M617">
        <v>-4392</v>
      </c>
      <c r="P617">
        <v>0</v>
      </c>
      <c r="R617" s="154"/>
      <c r="S617" s="73">
        <f t="shared" si="70"/>
        <v>-501.12720000000007</v>
      </c>
    </row>
    <row r="618" spans="1:19" ht="15">
      <c r="A618" s="161" t="s">
        <v>296</v>
      </c>
      <c r="B618" t="s">
        <v>397</v>
      </c>
      <c r="C618" t="s">
        <v>398</v>
      </c>
      <c r="D618" t="s">
        <v>399</v>
      </c>
      <c r="E618" t="s">
        <v>400</v>
      </c>
      <c r="F618" t="s">
        <v>301</v>
      </c>
      <c r="G618">
        <v>105099</v>
      </c>
      <c r="H618" t="s">
        <v>306</v>
      </c>
      <c r="I618">
        <v>221</v>
      </c>
      <c r="J618" t="s">
        <v>332</v>
      </c>
      <c r="K618" t="s">
        <v>304</v>
      </c>
      <c r="L618" t="s">
        <v>305</v>
      </c>
      <c r="M618">
        <v>4392</v>
      </c>
      <c r="P618">
        <v>0</v>
      </c>
      <c r="R618" s="154"/>
      <c r="S618" s="73">
        <f t="shared" si="70"/>
        <v>501.12720000000007</v>
      </c>
    </row>
    <row r="619" spans="1:19" ht="15">
      <c r="A619" s="161" t="s">
        <v>296</v>
      </c>
      <c r="B619" t="s">
        <v>397</v>
      </c>
      <c r="C619" t="s">
        <v>398</v>
      </c>
      <c r="D619" t="s">
        <v>399</v>
      </c>
      <c r="E619" t="s">
        <v>400</v>
      </c>
      <c r="F619" t="s">
        <v>301</v>
      </c>
      <c r="G619">
        <v>107008</v>
      </c>
      <c r="H619" t="s">
        <v>405</v>
      </c>
      <c r="I619">
        <v>221</v>
      </c>
      <c r="J619" t="s">
        <v>304</v>
      </c>
      <c r="K619" t="s">
        <v>304</v>
      </c>
      <c r="L619" t="s">
        <v>305</v>
      </c>
      <c r="M619">
        <v>25987.279999999999</v>
      </c>
      <c r="P619">
        <v>0</v>
      </c>
      <c r="R619" s="154"/>
      <c r="S619" s="73">
        <f t="shared" si="70"/>
        <v>2965.1486480000003</v>
      </c>
    </row>
    <row r="620" spans="1:19" ht="15">
      <c r="A620" s="161" t="s">
        <v>296</v>
      </c>
      <c r="B620" t="s">
        <v>397</v>
      </c>
      <c r="C620" t="s">
        <v>398</v>
      </c>
      <c r="D620" t="s">
        <v>399</v>
      </c>
      <c r="E620" t="s">
        <v>400</v>
      </c>
      <c r="F620" t="s">
        <v>301</v>
      </c>
      <c r="G620">
        <v>107069</v>
      </c>
      <c r="H620" t="s">
        <v>406</v>
      </c>
      <c r="I620">
        <v>221</v>
      </c>
      <c r="J620" t="s">
        <v>304</v>
      </c>
      <c r="K620" t="s">
        <v>304</v>
      </c>
      <c r="L620" t="s">
        <v>305</v>
      </c>
      <c r="M620">
        <v>1120</v>
      </c>
      <c r="P620">
        <v>0</v>
      </c>
      <c r="R620" s="154"/>
      <c r="S620" s="73">
        <f t="shared" si="70"/>
        <v>127.792</v>
      </c>
    </row>
    <row r="621" spans="1:19" ht="15">
      <c r="A621" s="161" t="s">
        <v>296</v>
      </c>
      <c r="B621" t="s">
        <v>397</v>
      </c>
      <c r="C621" t="s">
        <v>398</v>
      </c>
      <c r="D621" t="s">
        <v>399</v>
      </c>
      <c r="E621" t="s">
        <v>400</v>
      </c>
      <c r="F621" t="s">
        <v>301</v>
      </c>
      <c r="G621" s="213">
        <v>109001</v>
      </c>
      <c r="H621" t="s">
        <v>324</v>
      </c>
      <c r="I621">
        <v>221</v>
      </c>
      <c r="J621" t="s">
        <v>304</v>
      </c>
      <c r="K621" t="s">
        <v>304</v>
      </c>
      <c r="L621" t="s">
        <v>305</v>
      </c>
      <c r="M621">
        <v>49758.879999999997</v>
      </c>
      <c r="P621">
        <v>27000</v>
      </c>
      <c r="Q621" s="124">
        <f t="shared" ref="Q621:Q627" si="71">M621-P621</f>
        <v>22758.879999999997</v>
      </c>
      <c r="R621" s="124">
        <f>M621*-1.141</f>
        <v>-56774.882079999996</v>
      </c>
    </row>
    <row r="622" spans="1:19" ht="15">
      <c r="A622" s="161" t="s">
        <v>296</v>
      </c>
      <c r="B622" t="s">
        <v>397</v>
      </c>
      <c r="C622" t="s">
        <v>398</v>
      </c>
      <c r="D622" t="s">
        <v>399</v>
      </c>
      <c r="E622" t="s">
        <v>400</v>
      </c>
      <c r="F622" t="s">
        <v>301</v>
      </c>
      <c r="G622" s="213">
        <v>109901</v>
      </c>
      <c r="H622" t="s">
        <v>309</v>
      </c>
      <c r="I622">
        <v>221</v>
      </c>
      <c r="J622" t="s">
        <v>304</v>
      </c>
      <c r="K622" t="s">
        <v>304</v>
      </c>
      <c r="L622" t="s">
        <v>305</v>
      </c>
      <c r="M622">
        <v>92291.11</v>
      </c>
      <c r="P622">
        <v>81000</v>
      </c>
      <c r="Q622" s="124">
        <f t="shared" si="71"/>
        <v>11291.11</v>
      </c>
      <c r="R622" s="154"/>
    </row>
    <row r="623" spans="1:19" ht="15">
      <c r="A623" s="161" t="s">
        <v>296</v>
      </c>
      <c r="B623" t="s">
        <v>397</v>
      </c>
      <c r="C623" t="s">
        <v>398</v>
      </c>
      <c r="D623" t="s">
        <v>399</v>
      </c>
      <c r="E623" t="s">
        <v>400</v>
      </c>
      <c r="F623" t="s">
        <v>301</v>
      </c>
      <c r="G623" s="213">
        <v>109901</v>
      </c>
      <c r="H623" t="s">
        <v>309</v>
      </c>
      <c r="I623">
        <v>221</v>
      </c>
      <c r="J623" t="s">
        <v>304</v>
      </c>
      <c r="K623" t="s">
        <v>401</v>
      </c>
      <c r="L623" t="s">
        <v>305</v>
      </c>
      <c r="M623">
        <v>340.69</v>
      </c>
      <c r="P623">
        <v>0</v>
      </c>
      <c r="Q623" s="124">
        <f t="shared" si="71"/>
        <v>340.69</v>
      </c>
      <c r="R623" s="154"/>
    </row>
    <row r="624" spans="1:19" ht="15">
      <c r="A624" s="161" t="s">
        <v>296</v>
      </c>
      <c r="B624" t="s">
        <v>397</v>
      </c>
      <c r="C624" t="s">
        <v>398</v>
      </c>
      <c r="D624" t="s">
        <v>399</v>
      </c>
      <c r="E624" t="s">
        <v>400</v>
      </c>
      <c r="F624" t="s">
        <v>301</v>
      </c>
      <c r="G624" s="213">
        <v>109901</v>
      </c>
      <c r="H624" t="s">
        <v>309</v>
      </c>
      <c r="I624">
        <v>221</v>
      </c>
      <c r="J624" t="s">
        <v>304</v>
      </c>
      <c r="K624" t="s">
        <v>402</v>
      </c>
      <c r="L624" t="s">
        <v>305</v>
      </c>
      <c r="M624">
        <v>288.39999999999998</v>
      </c>
      <c r="P624">
        <v>0</v>
      </c>
      <c r="Q624" s="124">
        <f t="shared" si="71"/>
        <v>288.39999999999998</v>
      </c>
      <c r="R624" s="154"/>
    </row>
    <row r="625" spans="1:19" ht="15">
      <c r="A625" s="161" t="s">
        <v>296</v>
      </c>
      <c r="B625" t="s">
        <v>397</v>
      </c>
      <c r="C625" t="s">
        <v>398</v>
      </c>
      <c r="D625" t="s">
        <v>399</v>
      </c>
      <c r="E625" t="s">
        <v>400</v>
      </c>
      <c r="F625" t="s">
        <v>301</v>
      </c>
      <c r="G625" s="213">
        <v>109901</v>
      </c>
      <c r="H625" t="s">
        <v>309</v>
      </c>
      <c r="I625">
        <v>221</v>
      </c>
      <c r="J625" t="s">
        <v>304</v>
      </c>
      <c r="K625" t="s">
        <v>403</v>
      </c>
      <c r="L625" t="s">
        <v>305</v>
      </c>
      <c r="M625">
        <v>137.09</v>
      </c>
      <c r="P625">
        <v>0</v>
      </c>
      <c r="Q625" s="124">
        <f t="shared" si="71"/>
        <v>137.09</v>
      </c>
      <c r="R625" s="154"/>
    </row>
    <row r="626" spans="1:19" ht="15">
      <c r="A626" s="161" t="s">
        <v>296</v>
      </c>
      <c r="B626" t="s">
        <v>397</v>
      </c>
      <c r="C626" t="s">
        <v>398</v>
      </c>
      <c r="D626" t="s">
        <v>399</v>
      </c>
      <c r="E626" t="s">
        <v>400</v>
      </c>
      <c r="F626" t="s">
        <v>301</v>
      </c>
      <c r="G626" s="213">
        <v>109901</v>
      </c>
      <c r="H626" t="s">
        <v>309</v>
      </c>
      <c r="I626">
        <v>221</v>
      </c>
      <c r="J626" t="s">
        <v>304</v>
      </c>
      <c r="K626" t="s">
        <v>404</v>
      </c>
      <c r="L626" t="s">
        <v>305</v>
      </c>
      <c r="M626">
        <v>260.95</v>
      </c>
      <c r="P626">
        <v>0</v>
      </c>
      <c r="Q626" s="124">
        <f t="shared" si="71"/>
        <v>260.95</v>
      </c>
      <c r="R626" s="154"/>
    </row>
    <row r="627" spans="1:19" ht="15">
      <c r="A627" s="161" t="s">
        <v>296</v>
      </c>
      <c r="B627" t="s">
        <v>397</v>
      </c>
      <c r="C627" t="s">
        <v>398</v>
      </c>
      <c r="D627" t="s">
        <v>399</v>
      </c>
      <c r="E627" t="s">
        <v>400</v>
      </c>
      <c r="F627" t="s">
        <v>301</v>
      </c>
      <c r="G627" s="213">
        <v>109901</v>
      </c>
      <c r="H627" t="s">
        <v>309</v>
      </c>
      <c r="I627">
        <v>221</v>
      </c>
      <c r="J627" t="s">
        <v>332</v>
      </c>
      <c r="K627" t="s">
        <v>304</v>
      </c>
      <c r="L627" t="s">
        <v>305</v>
      </c>
      <c r="M627">
        <v>619.32000000000005</v>
      </c>
      <c r="P627">
        <v>0</v>
      </c>
      <c r="Q627" s="124">
        <f t="shared" si="71"/>
        <v>619.32000000000005</v>
      </c>
      <c r="R627" s="154"/>
    </row>
    <row r="628" spans="1:19" ht="15">
      <c r="A628" s="161" t="s">
        <v>296</v>
      </c>
      <c r="B628" t="s">
        <v>407</v>
      </c>
      <c r="C628" t="s">
        <v>408</v>
      </c>
      <c r="D628" t="s">
        <v>399</v>
      </c>
      <c r="E628" t="s">
        <v>400</v>
      </c>
      <c r="F628" t="s">
        <v>301</v>
      </c>
      <c r="G628">
        <v>101001</v>
      </c>
      <c r="H628" t="s">
        <v>329</v>
      </c>
      <c r="I628">
        <v>221</v>
      </c>
      <c r="J628" t="s">
        <v>304</v>
      </c>
      <c r="K628" t="s">
        <v>304</v>
      </c>
      <c r="L628" t="s">
        <v>305</v>
      </c>
      <c r="M628">
        <v>197955.46</v>
      </c>
      <c r="P628">
        <v>298000</v>
      </c>
      <c r="R628" s="154"/>
      <c r="S628" s="73">
        <f t="shared" ref="S628:S630" si="72">M628*$S$7*1.141</f>
        <v>22586.717986000003</v>
      </c>
    </row>
    <row r="629" spans="1:19" ht="15">
      <c r="A629" s="161" t="s">
        <v>296</v>
      </c>
      <c r="B629" t="s">
        <v>407</v>
      </c>
      <c r="C629" t="s">
        <v>408</v>
      </c>
      <c r="D629" t="s">
        <v>399</v>
      </c>
      <c r="E629" t="s">
        <v>400</v>
      </c>
      <c r="F629" t="s">
        <v>301</v>
      </c>
      <c r="G629">
        <v>104000</v>
      </c>
      <c r="H629" t="s">
        <v>345</v>
      </c>
      <c r="I629">
        <v>221</v>
      </c>
      <c r="J629" t="s">
        <v>304</v>
      </c>
      <c r="K629" t="s">
        <v>304</v>
      </c>
      <c r="L629" t="s">
        <v>305</v>
      </c>
      <c r="M629">
        <v>0</v>
      </c>
      <c r="P629">
        <v>2000</v>
      </c>
      <c r="R629" s="154"/>
      <c r="S629" s="73">
        <f t="shared" si="72"/>
        <v>0</v>
      </c>
    </row>
    <row r="630" spans="1:19" ht="15">
      <c r="A630" s="161" t="s">
        <v>296</v>
      </c>
      <c r="B630" t="s">
        <v>407</v>
      </c>
      <c r="C630" t="s">
        <v>408</v>
      </c>
      <c r="D630" t="s">
        <v>399</v>
      </c>
      <c r="E630" t="s">
        <v>400</v>
      </c>
      <c r="F630" t="s">
        <v>301</v>
      </c>
      <c r="G630">
        <v>105019</v>
      </c>
      <c r="H630" t="s">
        <v>348</v>
      </c>
      <c r="I630">
        <v>221</v>
      </c>
      <c r="J630" t="s">
        <v>304</v>
      </c>
      <c r="K630" t="s">
        <v>304</v>
      </c>
      <c r="L630" t="s">
        <v>305</v>
      </c>
      <c r="M630">
        <v>0</v>
      </c>
      <c r="P630">
        <v>14000</v>
      </c>
      <c r="R630" s="154"/>
      <c r="S630" s="73">
        <f t="shared" si="72"/>
        <v>0</v>
      </c>
    </row>
    <row r="631" spans="1:19" ht="15">
      <c r="A631" s="161" t="s">
        <v>296</v>
      </c>
      <c r="B631" t="s">
        <v>407</v>
      </c>
      <c r="C631" t="s">
        <v>408</v>
      </c>
      <c r="D631" t="s">
        <v>399</v>
      </c>
      <c r="E631" t="s">
        <v>400</v>
      </c>
      <c r="F631" t="s">
        <v>301</v>
      </c>
      <c r="G631" s="213">
        <v>109001</v>
      </c>
      <c r="H631" t="s">
        <v>324</v>
      </c>
      <c r="I631">
        <v>221</v>
      </c>
      <c r="J631" t="s">
        <v>304</v>
      </c>
      <c r="K631" t="s">
        <v>304</v>
      </c>
      <c r="L631" t="s">
        <v>305</v>
      </c>
      <c r="M631">
        <v>18410.8</v>
      </c>
      <c r="P631">
        <v>31000</v>
      </c>
      <c r="Q631" s="124">
        <f t="shared" ref="Q631:Q632" si="73">M631-P631</f>
        <v>-12589.2</v>
      </c>
      <c r="R631" s="124">
        <f>M631*-1.141</f>
        <v>-21006.7228</v>
      </c>
    </row>
    <row r="632" spans="1:19" ht="15">
      <c r="A632" s="161" t="s">
        <v>296</v>
      </c>
      <c r="B632" t="s">
        <v>407</v>
      </c>
      <c r="C632" t="s">
        <v>408</v>
      </c>
      <c r="D632" t="s">
        <v>399</v>
      </c>
      <c r="E632" t="s">
        <v>400</v>
      </c>
      <c r="F632" t="s">
        <v>301</v>
      </c>
      <c r="G632" s="213">
        <v>109901</v>
      </c>
      <c r="H632" t="s">
        <v>309</v>
      </c>
      <c r="I632">
        <v>221</v>
      </c>
      <c r="J632" t="s">
        <v>304</v>
      </c>
      <c r="K632" t="s">
        <v>304</v>
      </c>
      <c r="L632" t="s">
        <v>305</v>
      </c>
      <c r="M632">
        <v>28555.200000000001</v>
      </c>
      <c r="P632">
        <v>48000</v>
      </c>
      <c r="Q632" s="124">
        <f t="shared" si="73"/>
        <v>-19444.8</v>
      </c>
      <c r="R632" s="154"/>
    </row>
    <row r="633" spans="1:19" ht="15" hidden="1">
      <c r="A633" s="161" t="s">
        <v>296</v>
      </c>
      <c r="B633" s="201" t="s">
        <v>409</v>
      </c>
      <c r="C633" t="s">
        <v>410</v>
      </c>
      <c r="D633" t="s">
        <v>399</v>
      </c>
      <c r="E633" t="s">
        <v>400</v>
      </c>
      <c r="F633" t="s">
        <v>301</v>
      </c>
      <c r="G633">
        <v>101030</v>
      </c>
      <c r="H633" t="s">
        <v>411</v>
      </c>
      <c r="I633">
        <v>221</v>
      </c>
      <c r="J633" t="s">
        <v>304</v>
      </c>
      <c r="K633" t="s">
        <v>304</v>
      </c>
      <c r="L633" t="s">
        <v>305</v>
      </c>
      <c r="M633">
        <v>1315.11</v>
      </c>
      <c r="P633">
        <v>0</v>
      </c>
      <c r="R633" s="154"/>
      <c r="S633" s="236">
        <f>M633*$S$7*1.141*0</f>
        <v>0</v>
      </c>
    </row>
    <row r="634" spans="1:19" ht="15" hidden="1">
      <c r="A634" s="161" t="s">
        <v>296</v>
      </c>
      <c r="B634" s="201" t="s">
        <v>409</v>
      </c>
      <c r="C634" t="s">
        <v>410</v>
      </c>
      <c r="D634" t="s">
        <v>399</v>
      </c>
      <c r="E634" t="s">
        <v>400</v>
      </c>
      <c r="F634" t="s">
        <v>301</v>
      </c>
      <c r="G634">
        <v>101032</v>
      </c>
      <c r="H634" t="s">
        <v>412</v>
      </c>
      <c r="I634">
        <v>221</v>
      </c>
      <c r="J634" t="s">
        <v>304</v>
      </c>
      <c r="K634" t="s">
        <v>304</v>
      </c>
      <c r="L634" t="s">
        <v>305</v>
      </c>
      <c r="M634">
        <v>1139.73</v>
      </c>
      <c r="P634">
        <v>0</v>
      </c>
      <c r="R634" s="154"/>
      <c r="S634" s="236">
        <f>M634*$S$7*1.141*0</f>
        <v>0</v>
      </c>
    </row>
    <row r="635" spans="1:19" ht="15" hidden="1">
      <c r="A635" s="161" t="s">
        <v>296</v>
      </c>
      <c r="B635" s="201" t="s">
        <v>409</v>
      </c>
      <c r="C635" t="s">
        <v>410</v>
      </c>
      <c r="D635" t="s">
        <v>399</v>
      </c>
      <c r="E635" t="s">
        <v>400</v>
      </c>
      <c r="F635" t="s">
        <v>301</v>
      </c>
      <c r="G635">
        <v>101039</v>
      </c>
      <c r="H635" t="s">
        <v>312</v>
      </c>
      <c r="I635">
        <v>221</v>
      </c>
      <c r="J635" t="s">
        <v>304</v>
      </c>
      <c r="K635" t="s">
        <v>304</v>
      </c>
      <c r="L635" t="s">
        <v>305</v>
      </c>
      <c r="M635">
        <v>15944.61</v>
      </c>
      <c r="P635">
        <v>0</v>
      </c>
      <c r="R635" s="154"/>
      <c r="S635" s="236">
        <f>M635*$S$7*1.141*0</f>
        <v>0</v>
      </c>
    </row>
    <row r="636" spans="1:19" ht="15" hidden="1">
      <c r="A636" s="161" t="s">
        <v>296</v>
      </c>
      <c r="B636" s="201" t="s">
        <v>409</v>
      </c>
      <c r="C636" t="s">
        <v>410</v>
      </c>
      <c r="D636" t="s">
        <v>399</v>
      </c>
      <c r="E636" t="s">
        <v>400</v>
      </c>
      <c r="F636" t="s">
        <v>301</v>
      </c>
      <c r="G636">
        <v>107008</v>
      </c>
      <c r="H636" t="s">
        <v>405</v>
      </c>
      <c r="I636">
        <v>221</v>
      </c>
      <c r="J636" t="s">
        <v>304</v>
      </c>
      <c r="K636" t="s">
        <v>304</v>
      </c>
      <c r="L636" t="s">
        <v>305</v>
      </c>
      <c r="M636">
        <v>7369.43</v>
      </c>
      <c r="P636">
        <v>0</v>
      </c>
      <c r="R636" s="154"/>
      <c r="S636" s="236">
        <f>M636*$S$7*1.141*0</f>
        <v>0</v>
      </c>
    </row>
    <row r="637" spans="1:19" ht="15">
      <c r="A637" s="161" t="s">
        <v>296</v>
      </c>
      <c r="B637" t="s">
        <v>409</v>
      </c>
      <c r="C637" t="s">
        <v>410</v>
      </c>
      <c r="D637" t="s">
        <v>399</v>
      </c>
      <c r="E637" t="s">
        <v>400</v>
      </c>
      <c r="F637" t="s">
        <v>301</v>
      </c>
      <c r="G637" s="213">
        <v>109001</v>
      </c>
      <c r="H637" t="s">
        <v>324</v>
      </c>
      <c r="I637">
        <v>221</v>
      </c>
      <c r="J637" t="s">
        <v>304</v>
      </c>
      <c r="K637" t="s">
        <v>304</v>
      </c>
      <c r="L637" t="s">
        <v>305</v>
      </c>
      <c r="M637">
        <v>1523.5</v>
      </c>
      <c r="P637">
        <v>0</v>
      </c>
      <c r="Q637" s="124">
        <f t="shared" ref="Q637:Q638" si="74">M637-P637</f>
        <v>1523.5</v>
      </c>
      <c r="R637" s="237">
        <f>M637*-1.141*0</f>
        <v>0</v>
      </c>
    </row>
    <row r="638" spans="1:19" ht="15">
      <c r="A638" s="161" t="s">
        <v>296</v>
      </c>
      <c r="B638" t="s">
        <v>409</v>
      </c>
      <c r="C638" t="s">
        <v>410</v>
      </c>
      <c r="D638" t="s">
        <v>399</v>
      </c>
      <c r="E638" t="s">
        <v>400</v>
      </c>
      <c r="F638" t="s">
        <v>301</v>
      </c>
      <c r="G638" s="213">
        <v>109901</v>
      </c>
      <c r="H638" t="s">
        <v>309</v>
      </c>
      <c r="I638">
        <v>221</v>
      </c>
      <c r="J638" t="s">
        <v>304</v>
      </c>
      <c r="K638" t="s">
        <v>304</v>
      </c>
      <c r="L638" t="s">
        <v>305</v>
      </c>
      <c r="M638">
        <v>3848.29</v>
      </c>
      <c r="P638">
        <v>0</v>
      </c>
      <c r="Q638" s="124">
        <f t="shared" si="74"/>
        <v>3848.29</v>
      </c>
      <c r="R638" s="154"/>
    </row>
    <row r="639" spans="1:19" ht="15">
      <c r="A639" s="161" t="s">
        <v>296</v>
      </c>
      <c r="B639" t="s">
        <v>413</v>
      </c>
      <c r="C639" t="s">
        <v>414</v>
      </c>
      <c r="D639" t="s">
        <v>399</v>
      </c>
      <c r="E639" t="s">
        <v>415</v>
      </c>
      <c r="F639" t="s">
        <v>301</v>
      </c>
      <c r="G639">
        <v>105019</v>
      </c>
      <c r="H639" t="s">
        <v>348</v>
      </c>
      <c r="I639">
        <v>221</v>
      </c>
      <c r="J639" t="s">
        <v>416</v>
      </c>
      <c r="K639" t="s">
        <v>417</v>
      </c>
      <c r="L639" t="s">
        <v>305</v>
      </c>
      <c r="M639">
        <v>98.98</v>
      </c>
      <c r="P639">
        <v>0</v>
      </c>
      <c r="R639" s="154"/>
      <c r="S639" s="73">
        <f>M639*$S$7*1.141</f>
        <v>11.293618000000002</v>
      </c>
    </row>
    <row r="640" spans="1:19" ht="15">
      <c r="A640" s="161" t="s">
        <v>296</v>
      </c>
      <c r="B640" t="s">
        <v>413</v>
      </c>
      <c r="C640" t="s">
        <v>414</v>
      </c>
      <c r="D640" t="s">
        <v>399</v>
      </c>
      <c r="E640" t="s">
        <v>415</v>
      </c>
      <c r="F640" t="s">
        <v>301</v>
      </c>
      <c r="G640" s="213">
        <v>109901</v>
      </c>
      <c r="H640" t="s">
        <v>309</v>
      </c>
      <c r="I640">
        <v>221</v>
      </c>
      <c r="J640" t="s">
        <v>416</v>
      </c>
      <c r="K640" t="s">
        <v>417</v>
      </c>
      <c r="L640" t="s">
        <v>305</v>
      </c>
      <c r="M640">
        <v>13.96</v>
      </c>
      <c r="P640">
        <v>0</v>
      </c>
      <c r="Q640" s="124">
        <f t="shared" ref="Q640" si="75">M640-P640</f>
        <v>13.96</v>
      </c>
      <c r="R640" s="154"/>
    </row>
    <row r="641" spans="1:19" ht="15">
      <c r="A641" s="161" t="s">
        <v>296</v>
      </c>
      <c r="B641" t="s">
        <v>418</v>
      </c>
      <c r="C641" t="s">
        <v>419</v>
      </c>
      <c r="D641" t="s">
        <v>420</v>
      </c>
      <c r="E641" t="s">
        <v>421</v>
      </c>
      <c r="F641" t="s">
        <v>301</v>
      </c>
      <c r="G641">
        <v>101001</v>
      </c>
      <c r="H641" t="s">
        <v>329</v>
      </c>
      <c r="I641">
        <v>221</v>
      </c>
      <c r="J641" t="s">
        <v>304</v>
      </c>
      <c r="K641" t="s">
        <v>304</v>
      </c>
      <c r="L641" t="s">
        <v>305</v>
      </c>
      <c r="M641">
        <v>275179</v>
      </c>
      <c r="P641">
        <v>0</v>
      </c>
      <c r="R641" s="154"/>
      <c r="S641" s="73">
        <f t="shared" ref="S641:S646" si="76">M641*$S$7*1.141</f>
        <v>31397.923900000002</v>
      </c>
    </row>
    <row r="642" spans="1:19" ht="15">
      <c r="A642" s="161" t="s">
        <v>296</v>
      </c>
      <c r="B642" t="s">
        <v>418</v>
      </c>
      <c r="C642" t="s">
        <v>419</v>
      </c>
      <c r="D642" t="s">
        <v>420</v>
      </c>
      <c r="E642" t="s">
        <v>421</v>
      </c>
      <c r="F642" t="s">
        <v>301</v>
      </c>
      <c r="G642">
        <v>102001</v>
      </c>
      <c r="H642" t="s">
        <v>337</v>
      </c>
      <c r="I642">
        <v>221</v>
      </c>
      <c r="J642" t="s">
        <v>304</v>
      </c>
      <c r="K642" t="s">
        <v>304</v>
      </c>
      <c r="L642" t="s">
        <v>305</v>
      </c>
      <c r="M642">
        <v>36.36</v>
      </c>
      <c r="P642">
        <v>0</v>
      </c>
      <c r="R642" s="154"/>
      <c r="S642" s="73">
        <f t="shared" si="76"/>
        <v>4.148676</v>
      </c>
    </row>
    <row r="643" spans="1:19" ht="15">
      <c r="A643" s="161" t="s">
        <v>296</v>
      </c>
      <c r="B643" t="s">
        <v>418</v>
      </c>
      <c r="C643" t="s">
        <v>419</v>
      </c>
      <c r="D643" t="s">
        <v>420</v>
      </c>
      <c r="E643" t="s">
        <v>421</v>
      </c>
      <c r="F643" t="s">
        <v>301</v>
      </c>
      <c r="G643">
        <v>103001</v>
      </c>
      <c r="H643" t="s">
        <v>342</v>
      </c>
      <c r="I643">
        <v>221</v>
      </c>
      <c r="J643" t="s">
        <v>304</v>
      </c>
      <c r="K643" t="s">
        <v>304</v>
      </c>
      <c r="L643" t="s">
        <v>305</v>
      </c>
      <c r="M643">
        <v>50396.58</v>
      </c>
      <c r="P643">
        <v>0</v>
      </c>
      <c r="R643" s="154"/>
      <c r="S643" s="73">
        <f t="shared" si="76"/>
        <v>5750.2497780000003</v>
      </c>
    </row>
    <row r="644" spans="1:19" ht="15">
      <c r="A644" s="161" t="s">
        <v>296</v>
      </c>
      <c r="B644" t="s">
        <v>418</v>
      </c>
      <c r="C644" t="s">
        <v>419</v>
      </c>
      <c r="D644" t="s">
        <v>420</v>
      </c>
      <c r="E644" t="s">
        <v>421</v>
      </c>
      <c r="F644" t="s">
        <v>301</v>
      </c>
      <c r="G644">
        <v>104000</v>
      </c>
      <c r="H644" t="s">
        <v>345</v>
      </c>
      <c r="I644">
        <v>221</v>
      </c>
      <c r="J644" t="s">
        <v>304</v>
      </c>
      <c r="K644" t="s">
        <v>304</v>
      </c>
      <c r="L644" t="s">
        <v>305</v>
      </c>
      <c r="M644">
        <v>3031.86</v>
      </c>
      <c r="P644">
        <v>0</v>
      </c>
      <c r="R644" s="154"/>
      <c r="S644" s="73">
        <f t="shared" si="76"/>
        <v>345.93522600000006</v>
      </c>
    </row>
    <row r="645" spans="1:19" ht="15">
      <c r="A645" s="161" t="s">
        <v>296</v>
      </c>
      <c r="B645" t="s">
        <v>418</v>
      </c>
      <c r="C645" t="s">
        <v>419</v>
      </c>
      <c r="D645" t="s">
        <v>420</v>
      </c>
      <c r="E645" t="s">
        <v>421</v>
      </c>
      <c r="F645" t="s">
        <v>301</v>
      </c>
      <c r="G645">
        <v>105001</v>
      </c>
      <c r="H645" t="s">
        <v>422</v>
      </c>
      <c r="I645">
        <v>221</v>
      </c>
      <c r="J645" t="s">
        <v>304</v>
      </c>
      <c r="K645" t="s">
        <v>304</v>
      </c>
      <c r="L645" t="s">
        <v>305</v>
      </c>
      <c r="M645">
        <v>7028.89</v>
      </c>
      <c r="P645">
        <v>0</v>
      </c>
      <c r="R645" s="154"/>
      <c r="S645" s="73">
        <f t="shared" si="76"/>
        <v>801.99634900000012</v>
      </c>
    </row>
    <row r="646" spans="1:19" ht="15">
      <c r="A646" s="161" t="s">
        <v>296</v>
      </c>
      <c r="B646" t="s">
        <v>418</v>
      </c>
      <c r="C646" t="s">
        <v>419</v>
      </c>
      <c r="D646" t="s">
        <v>420</v>
      </c>
      <c r="E646" t="s">
        <v>421</v>
      </c>
      <c r="F646" t="s">
        <v>301</v>
      </c>
      <c r="G646">
        <v>107001</v>
      </c>
      <c r="H646" t="s">
        <v>423</v>
      </c>
      <c r="I646">
        <v>221</v>
      </c>
      <c r="J646" t="s">
        <v>304</v>
      </c>
      <c r="K646" t="s">
        <v>304</v>
      </c>
      <c r="L646" t="s">
        <v>305</v>
      </c>
      <c r="M646">
        <v>66317.009999999995</v>
      </c>
      <c r="P646">
        <v>0</v>
      </c>
      <c r="R646" s="154"/>
      <c r="S646" s="73">
        <f t="shared" si="76"/>
        <v>7566.7708410000005</v>
      </c>
    </row>
    <row r="647" spans="1:19" ht="15">
      <c r="A647" s="161" t="s">
        <v>296</v>
      </c>
      <c r="B647" t="s">
        <v>418</v>
      </c>
      <c r="C647" t="s">
        <v>419</v>
      </c>
      <c r="D647" t="s">
        <v>420</v>
      </c>
      <c r="E647" t="s">
        <v>421</v>
      </c>
      <c r="F647" t="s">
        <v>301</v>
      </c>
      <c r="G647" s="213">
        <v>109001</v>
      </c>
      <c r="H647" t="s">
        <v>324</v>
      </c>
      <c r="I647">
        <v>221</v>
      </c>
      <c r="J647" t="s">
        <v>304</v>
      </c>
      <c r="K647" t="s">
        <v>304</v>
      </c>
      <c r="L647" t="s">
        <v>305</v>
      </c>
      <c r="M647">
        <v>33422.660000000003</v>
      </c>
      <c r="P647">
        <v>0</v>
      </c>
      <c r="Q647" s="124">
        <f t="shared" ref="Q647:Q648" si="77">M647-P647</f>
        <v>33422.660000000003</v>
      </c>
      <c r="R647" s="124">
        <f>M647*-1.141</f>
        <v>-38135.255060000003</v>
      </c>
    </row>
    <row r="648" spans="1:19" ht="15">
      <c r="A648" s="161" t="s">
        <v>296</v>
      </c>
      <c r="B648" t="s">
        <v>418</v>
      </c>
      <c r="C648" t="s">
        <v>419</v>
      </c>
      <c r="D648" t="s">
        <v>420</v>
      </c>
      <c r="E648" t="s">
        <v>421</v>
      </c>
      <c r="F648" t="s">
        <v>301</v>
      </c>
      <c r="G648" s="213">
        <v>109901</v>
      </c>
      <c r="H648" t="s">
        <v>309</v>
      </c>
      <c r="I648">
        <v>221</v>
      </c>
      <c r="J648" t="s">
        <v>304</v>
      </c>
      <c r="K648" t="s">
        <v>304</v>
      </c>
      <c r="L648" t="s">
        <v>305</v>
      </c>
      <c r="M648">
        <v>59256.26</v>
      </c>
      <c r="P648">
        <v>0</v>
      </c>
      <c r="Q648" s="124">
        <f t="shared" si="77"/>
        <v>59256.26</v>
      </c>
      <c r="R648" s="154"/>
    </row>
    <row r="649" spans="1:19" ht="15">
      <c r="A649" s="161" t="s">
        <v>296</v>
      </c>
      <c r="B649" t="s">
        <v>424</v>
      </c>
      <c r="C649" t="s">
        <v>425</v>
      </c>
      <c r="D649" t="s">
        <v>420</v>
      </c>
      <c r="E649" t="s">
        <v>421</v>
      </c>
      <c r="F649" t="s">
        <v>301</v>
      </c>
      <c r="G649">
        <v>101001</v>
      </c>
      <c r="H649" t="s">
        <v>329</v>
      </c>
      <c r="I649">
        <v>221</v>
      </c>
      <c r="J649" t="s">
        <v>304</v>
      </c>
      <c r="K649" t="s">
        <v>304</v>
      </c>
      <c r="L649" t="s">
        <v>305</v>
      </c>
      <c r="M649">
        <v>47341.96</v>
      </c>
      <c r="P649">
        <v>0</v>
      </c>
      <c r="R649" s="154"/>
      <c r="S649" s="73">
        <f t="shared" ref="S649:S651" si="78">M649*$S$7*1.141</f>
        <v>5401.7176360000003</v>
      </c>
    </row>
    <row r="650" spans="1:19" ht="15">
      <c r="A650" s="161" t="s">
        <v>296</v>
      </c>
      <c r="B650" t="s">
        <v>424</v>
      </c>
      <c r="C650" t="s">
        <v>425</v>
      </c>
      <c r="D650" t="s">
        <v>420</v>
      </c>
      <c r="E650" t="s">
        <v>421</v>
      </c>
      <c r="F650" t="s">
        <v>301</v>
      </c>
      <c r="G650">
        <v>104000</v>
      </c>
      <c r="H650" t="s">
        <v>345</v>
      </c>
      <c r="I650">
        <v>221</v>
      </c>
      <c r="J650" t="s">
        <v>304</v>
      </c>
      <c r="K650" t="s">
        <v>304</v>
      </c>
      <c r="L650" t="s">
        <v>305</v>
      </c>
      <c r="M650">
        <v>1780.39</v>
      </c>
      <c r="P650">
        <v>0</v>
      </c>
      <c r="R650" s="154"/>
      <c r="S650" s="73">
        <f t="shared" si="78"/>
        <v>203.14249900000002</v>
      </c>
    </row>
    <row r="651" spans="1:19" ht="15">
      <c r="A651" s="161" t="s">
        <v>296</v>
      </c>
      <c r="B651" t="s">
        <v>424</v>
      </c>
      <c r="C651" t="s">
        <v>425</v>
      </c>
      <c r="D651" t="s">
        <v>420</v>
      </c>
      <c r="E651" t="s">
        <v>421</v>
      </c>
      <c r="F651" t="s">
        <v>301</v>
      </c>
      <c r="G651">
        <v>107001</v>
      </c>
      <c r="H651" t="s">
        <v>423</v>
      </c>
      <c r="I651">
        <v>221</v>
      </c>
      <c r="J651" t="s">
        <v>304</v>
      </c>
      <c r="K651" t="s">
        <v>304</v>
      </c>
      <c r="L651" t="s">
        <v>305</v>
      </c>
      <c r="M651">
        <v>45763.93</v>
      </c>
      <c r="P651">
        <v>0</v>
      </c>
      <c r="R651" s="154"/>
      <c r="S651" s="73">
        <f t="shared" si="78"/>
        <v>5221.6644130000004</v>
      </c>
    </row>
    <row r="652" spans="1:19" ht="15">
      <c r="A652" s="161" t="s">
        <v>296</v>
      </c>
      <c r="B652" t="s">
        <v>424</v>
      </c>
      <c r="C652" t="s">
        <v>425</v>
      </c>
      <c r="D652" t="s">
        <v>420</v>
      </c>
      <c r="E652" t="s">
        <v>421</v>
      </c>
      <c r="F652" t="s">
        <v>301</v>
      </c>
      <c r="G652" s="213">
        <v>109001</v>
      </c>
      <c r="H652" t="s">
        <v>324</v>
      </c>
      <c r="I652">
        <v>221</v>
      </c>
      <c r="J652" t="s">
        <v>304</v>
      </c>
      <c r="K652" t="s">
        <v>304</v>
      </c>
      <c r="L652" t="s">
        <v>305</v>
      </c>
      <c r="M652">
        <v>6235.71</v>
      </c>
      <c r="P652">
        <v>0</v>
      </c>
      <c r="Q652" s="124">
        <f t="shared" ref="Q652:Q653" si="79">M652-P652</f>
        <v>6235.71</v>
      </c>
      <c r="R652" s="124">
        <f>M652*-1.141</f>
        <v>-7114.9451100000006</v>
      </c>
    </row>
    <row r="653" spans="1:19" ht="15">
      <c r="A653" s="161" t="s">
        <v>296</v>
      </c>
      <c r="B653" t="s">
        <v>424</v>
      </c>
      <c r="C653" t="s">
        <v>425</v>
      </c>
      <c r="D653" t="s">
        <v>420</v>
      </c>
      <c r="E653" t="s">
        <v>421</v>
      </c>
      <c r="F653" t="s">
        <v>301</v>
      </c>
      <c r="G653" s="213">
        <v>109901</v>
      </c>
      <c r="H653" t="s">
        <v>309</v>
      </c>
      <c r="I653">
        <v>221</v>
      </c>
      <c r="J653" t="s">
        <v>304</v>
      </c>
      <c r="K653" t="s">
        <v>304</v>
      </c>
      <c r="L653" t="s">
        <v>305</v>
      </c>
      <c r="M653">
        <v>13663.02</v>
      </c>
      <c r="P653">
        <v>0</v>
      </c>
      <c r="Q653" s="124">
        <f t="shared" si="79"/>
        <v>13663.02</v>
      </c>
      <c r="R653" s="154"/>
    </row>
    <row r="654" spans="1:19" ht="15">
      <c r="A654" s="161" t="s">
        <v>296</v>
      </c>
      <c r="B654" t="s">
        <v>426</v>
      </c>
      <c r="C654" t="s">
        <v>427</v>
      </c>
      <c r="D654" t="s">
        <v>420</v>
      </c>
      <c r="E654" t="s">
        <v>421</v>
      </c>
      <c r="F654" t="s">
        <v>301</v>
      </c>
      <c r="G654">
        <v>101001</v>
      </c>
      <c r="H654" t="s">
        <v>329</v>
      </c>
      <c r="I654">
        <v>221</v>
      </c>
      <c r="J654" t="s">
        <v>304</v>
      </c>
      <c r="K654" t="s">
        <v>304</v>
      </c>
      <c r="L654" t="s">
        <v>305</v>
      </c>
      <c r="M654">
        <v>2605.96</v>
      </c>
      <c r="P654">
        <v>0</v>
      </c>
      <c r="R654" s="154"/>
      <c r="S654" s="73">
        <f t="shared" ref="S654:S656" si="80">M654*$S$7*1.141</f>
        <v>297.340036</v>
      </c>
    </row>
    <row r="655" spans="1:19" ht="15">
      <c r="A655" s="161" t="s">
        <v>296</v>
      </c>
      <c r="B655" t="s">
        <v>426</v>
      </c>
      <c r="C655" t="s">
        <v>427</v>
      </c>
      <c r="D655" t="s">
        <v>420</v>
      </c>
      <c r="E655" t="s">
        <v>421</v>
      </c>
      <c r="F655" t="s">
        <v>301</v>
      </c>
      <c r="G655">
        <v>104000</v>
      </c>
      <c r="H655" t="s">
        <v>345</v>
      </c>
      <c r="I655">
        <v>221</v>
      </c>
      <c r="J655" t="s">
        <v>304</v>
      </c>
      <c r="K655" t="s">
        <v>304</v>
      </c>
      <c r="L655" t="s">
        <v>305</v>
      </c>
      <c r="M655">
        <v>27.48</v>
      </c>
      <c r="P655">
        <v>0</v>
      </c>
      <c r="R655" s="154"/>
      <c r="S655" s="73">
        <f t="shared" si="80"/>
        <v>3.1354680000000004</v>
      </c>
    </row>
    <row r="656" spans="1:19" ht="15">
      <c r="A656" s="161" t="s">
        <v>296</v>
      </c>
      <c r="B656" t="s">
        <v>426</v>
      </c>
      <c r="C656" t="s">
        <v>427</v>
      </c>
      <c r="D656" t="s">
        <v>420</v>
      </c>
      <c r="E656" t="s">
        <v>421</v>
      </c>
      <c r="F656" t="s">
        <v>301</v>
      </c>
      <c r="G656">
        <v>107001</v>
      </c>
      <c r="H656" t="s">
        <v>423</v>
      </c>
      <c r="I656">
        <v>221</v>
      </c>
      <c r="J656" t="s">
        <v>304</v>
      </c>
      <c r="K656" t="s">
        <v>304</v>
      </c>
      <c r="L656" t="s">
        <v>305</v>
      </c>
      <c r="M656">
        <v>4193.53</v>
      </c>
      <c r="P656">
        <v>0</v>
      </c>
      <c r="R656" s="154"/>
      <c r="S656" s="73">
        <f t="shared" si="80"/>
        <v>478.48177300000003</v>
      </c>
    </row>
    <row r="657" spans="1:19" ht="15">
      <c r="A657" s="161" t="s">
        <v>296</v>
      </c>
      <c r="B657" t="s">
        <v>426</v>
      </c>
      <c r="C657" t="s">
        <v>427</v>
      </c>
      <c r="D657" t="s">
        <v>420</v>
      </c>
      <c r="E657" t="s">
        <v>421</v>
      </c>
      <c r="F657" t="s">
        <v>301</v>
      </c>
      <c r="G657" s="213">
        <v>109001</v>
      </c>
      <c r="H657" t="s">
        <v>324</v>
      </c>
      <c r="I657">
        <v>221</v>
      </c>
      <c r="J657" t="s">
        <v>304</v>
      </c>
      <c r="K657" t="s">
        <v>304</v>
      </c>
      <c r="L657" t="s">
        <v>305</v>
      </c>
      <c r="M657">
        <v>600.91</v>
      </c>
      <c r="P657">
        <v>0</v>
      </c>
      <c r="Q657" s="124">
        <f t="shared" ref="Q657:Q658" si="81">M657-P657</f>
        <v>600.91</v>
      </c>
      <c r="R657" s="124">
        <f>M657*-1.141</f>
        <v>-685.63830999999993</v>
      </c>
    </row>
    <row r="658" spans="1:19" ht="15">
      <c r="A658" s="161" t="s">
        <v>296</v>
      </c>
      <c r="B658" t="s">
        <v>426</v>
      </c>
      <c r="C658" t="s">
        <v>427</v>
      </c>
      <c r="D658" t="s">
        <v>420</v>
      </c>
      <c r="E658" t="s">
        <v>421</v>
      </c>
      <c r="F658" t="s">
        <v>301</v>
      </c>
      <c r="G658" s="213">
        <v>109901</v>
      </c>
      <c r="H658" t="s">
        <v>309</v>
      </c>
      <c r="I658">
        <v>221</v>
      </c>
      <c r="J658" t="s">
        <v>304</v>
      </c>
      <c r="K658" t="s">
        <v>304</v>
      </c>
      <c r="L658" t="s">
        <v>305</v>
      </c>
      <c r="M658">
        <v>880.31</v>
      </c>
      <c r="P658">
        <v>0</v>
      </c>
      <c r="Q658" s="124">
        <f t="shared" si="81"/>
        <v>880.31</v>
      </c>
      <c r="R658" s="154"/>
    </row>
    <row r="659" spans="1:19" ht="15">
      <c r="A659" s="161" t="s">
        <v>296</v>
      </c>
      <c r="B659" t="s">
        <v>428</v>
      </c>
      <c r="C659" t="s">
        <v>429</v>
      </c>
      <c r="D659" t="s">
        <v>420</v>
      </c>
      <c r="E659" t="s">
        <v>421</v>
      </c>
      <c r="F659" t="s">
        <v>301</v>
      </c>
      <c r="G659">
        <v>101001</v>
      </c>
      <c r="H659" t="s">
        <v>329</v>
      </c>
      <c r="I659">
        <v>221</v>
      </c>
      <c r="J659" t="s">
        <v>304</v>
      </c>
      <c r="K659" t="s">
        <v>304</v>
      </c>
      <c r="L659" t="s">
        <v>305</v>
      </c>
      <c r="M659">
        <v>178982.96</v>
      </c>
      <c r="P659">
        <v>0</v>
      </c>
      <c r="R659" s="154"/>
      <c r="S659" s="73">
        <f t="shared" ref="S659:S661" si="82">M659*$S$7*1.141</f>
        <v>20421.955736</v>
      </c>
    </row>
    <row r="660" spans="1:19" ht="15">
      <c r="A660" s="161" t="s">
        <v>296</v>
      </c>
      <c r="B660" t="s">
        <v>428</v>
      </c>
      <c r="C660" t="s">
        <v>429</v>
      </c>
      <c r="D660" t="s">
        <v>420</v>
      </c>
      <c r="E660" t="s">
        <v>421</v>
      </c>
      <c r="F660" t="s">
        <v>301</v>
      </c>
      <c r="G660">
        <v>105001</v>
      </c>
      <c r="H660" t="s">
        <v>422</v>
      </c>
      <c r="I660">
        <v>221</v>
      </c>
      <c r="J660" t="s">
        <v>304</v>
      </c>
      <c r="K660" t="s">
        <v>304</v>
      </c>
      <c r="L660" t="s">
        <v>305</v>
      </c>
      <c r="M660">
        <v>612.05999999999995</v>
      </c>
      <c r="P660">
        <v>0</v>
      </c>
      <c r="R660" s="154"/>
      <c r="S660" s="73">
        <f t="shared" si="82"/>
        <v>69.836045999999996</v>
      </c>
    </row>
    <row r="661" spans="1:19" ht="15">
      <c r="A661" s="161" t="s">
        <v>296</v>
      </c>
      <c r="B661" t="s">
        <v>428</v>
      </c>
      <c r="C661" t="s">
        <v>429</v>
      </c>
      <c r="D661" t="s">
        <v>420</v>
      </c>
      <c r="E661" t="s">
        <v>421</v>
      </c>
      <c r="F661" t="s">
        <v>301</v>
      </c>
      <c r="G661">
        <v>107001</v>
      </c>
      <c r="H661" t="s">
        <v>423</v>
      </c>
      <c r="I661">
        <v>221</v>
      </c>
      <c r="J661" t="s">
        <v>304</v>
      </c>
      <c r="K661" t="s">
        <v>304</v>
      </c>
      <c r="L661" t="s">
        <v>305</v>
      </c>
      <c r="M661">
        <v>30481.9</v>
      </c>
      <c r="P661">
        <v>0</v>
      </c>
      <c r="R661" s="154"/>
      <c r="S661" s="73">
        <f t="shared" si="82"/>
        <v>3477.9847900000004</v>
      </c>
    </row>
    <row r="662" spans="1:19" ht="15">
      <c r="A662" s="161" t="s">
        <v>296</v>
      </c>
      <c r="B662" t="s">
        <v>428</v>
      </c>
      <c r="C662" t="s">
        <v>429</v>
      </c>
      <c r="D662" t="s">
        <v>420</v>
      </c>
      <c r="E662" t="s">
        <v>421</v>
      </c>
      <c r="F662" t="s">
        <v>301</v>
      </c>
      <c r="G662" s="213">
        <v>109001</v>
      </c>
      <c r="H662" t="s">
        <v>324</v>
      </c>
      <c r="I662">
        <v>221</v>
      </c>
      <c r="J662" t="s">
        <v>304</v>
      </c>
      <c r="K662" t="s">
        <v>304</v>
      </c>
      <c r="L662" t="s">
        <v>305</v>
      </c>
      <c r="M662">
        <v>19507.71</v>
      </c>
      <c r="P662">
        <v>0</v>
      </c>
      <c r="Q662" s="124">
        <f t="shared" ref="Q662:Q663" si="83">M662-P662</f>
        <v>19507.71</v>
      </c>
      <c r="R662" s="124">
        <f>M662*-1.141</f>
        <v>-22258.29711</v>
      </c>
    </row>
    <row r="663" spans="1:19" ht="15">
      <c r="A663" s="161" t="s">
        <v>296</v>
      </c>
      <c r="B663" t="s">
        <v>428</v>
      </c>
      <c r="C663" t="s">
        <v>429</v>
      </c>
      <c r="D663" t="s">
        <v>420</v>
      </c>
      <c r="E663" t="s">
        <v>421</v>
      </c>
      <c r="F663" t="s">
        <v>301</v>
      </c>
      <c r="G663" s="213">
        <v>109901</v>
      </c>
      <c r="H663" t="s">
        <v>309</v>
      </c>
      <c r="I663">
        <v>221</v>
      </c>
      <c r="J663" t="s">
        <v>304</v>
      </c>
      <c r="K663" t="s">
        <v>304</v>
      </c>
      <c r="L663" t="s">
        <v>305</v>
      </c>
      <c r="M663">
        <v>32502.11</v>
      </c>
      <c r="P663">
        <v>0</v>
      </c>
      <c r="Q663" s="124">
        <f t="shared" si="83"/>
        <v>32502.11</v>
      </c>
      <c r="R663" s="154"/>
    </row>
    <row r="664" spans="1:19" ht="15">
      <c r="A664" s="161" t="s">
        <v>296</v>
      </c>
      <c r="B664" t="s">
        <v>430</v>
      </c>
      <c r="C664" t="s">
        <v>431</v>
      </c>
      <c r="D664" t="s">
        <v>420</v>
      </c>
      <c r="E664" t="s">
        <v>421</v>
      </c>
      <c r="F664" t="s">
        <v>301</v>
      </c>
      <c r="G664">
        <v>101001</v>
      </c>
      <c r="H664" t="s">
        <v>329</v>
      </c>
      <c r="I664">
        <v>201</v>
      </c>
      <c r="J664" t="s">
        <v>304</v>
      </c>
      <c r="K664" t="s">
        <v>432</v>
      </c>
      <c r="L664" t="s">
        <v>305</v>
      </c>
      <c r="M664">
        <v>221.83</v>
      </c>
      <c r="P664">
        <v>0</v>
      </c>
      <c r="R664" s="154"/>
      <c r="S664" s="73">
        <f t="shared" ref="S664:S667" si="84">M664*$S$7*1.141</f>
        <v>25.310803000000003</v>
      </c>
    </row>
    <row r="665" spans="1:19" ht="15">
      <c r="A665" s="161" t="s">
        <v>296</v>
      </c>
      <c r="B665" t="s">
        <v>430</v>
      </c>
      <c r="C665" t="s">
        <v>431</v>
      </c>
      <c r="D665" t="s">
        <v>420</v>
      </c>
      <c r="E665" t="s">
        <v>421</v>
      </c>
      <c r="F665" t="s">
        <v>301</v>
      </c>
      <c r="G665">
        <v>102001</v>
      </c>
      <c r="H665" t="s">
        <v>337</v>
      </c>
      <c r="I665">
        <v>201</v>
      </c>
      <c r="J665" t="s">
        <v>304</v>
      </c>
      <c r="K665" t="s">
        <v>432</v>
      </c>
      <c r="L665" t="s">
        <v>305</v>
      </c>
      <c r="M665">
        <v>18.100000000000001</v>
      </c>
      <c r="P665">
        <v>0</v>
      </c>
      <c r="R665" s="154"/>
      <c r="S665" s="73">
        <f t="shared" si="84"/>
        <v>2.0652100000000004</v>
      </c>
    </row>
    <row r="666" spans="1:19" ht="15">
      <c r="A666" s="161" t="s">
        <v>296</v>
      </c>
      <c r="B666" t="s">
        <v>430</v>
      </c>
      <c r="C666" t="s">
        <v>431</v>
      </c>
      <c r="D666" t="s">
        <v>420</v>
      </c>
      <c r="E666" t="s">
        <v>421</v>
      </c>
      <c r="F666" t="s">
        <v>301</v>
      </c>
      <c r="G666">
        <v>104000</v>
      </c>
      <c r="H666" t="s">
        <v>345</v>
      </c>
      <c r="I666">
        <v>201</v>
      </c>
      <c r="J666" t="s">
        <v>304</v>
      </c>
      <c r="K666" t="s">
        <v>432</v>
      </c>
      <c r="L666" t="s">
        <v>305</v>
      </c>
      <c r="M666">
        <v>10.26</v>
      </c>
      <c r="P666">
        <v>0</v>
      </c>
      <c r="R666" s="154"/>
      <c r="S666" s="73">
        <f t="shared" si="84"/>
        <v>1.170666</v>
      </c>
    </row>
    <row r="667" spans="1:19" ht="15">
      <c r="A667" s="161" t="s">
        <v>296</v>
      </c>
      <c r="B667" t="s">
        <v>430</v>
      </c>
      <c r="C667" t="s">
        <v>431</v>
      </c>
      <c r="D667" t="s">
        <v>420</v>
      </c>
      <c r="E667" t="s">
        <v>421</v>
      </c>
      <c r="F667" t="s">
        <v>301</v>
      </c>
      <c r="G667">
        <v>107501</v>
      </c>
      <c r="H667" t="s">
        <v>433</v>
      </c>
      <c r="I667">
        <v>201</v>
      </c>
      <c r="J667" t="s">
        <v>304</v>
      </c>
      <c r="K667" t="s">
        <v>432</v>
      </c>
      <c r="L667" t="s">
        <v>305</v>
      </c>
      <c r="M667">
        <v>2646.39</v>
      </c>
      <c r="P667">
        <v>0</v>
      </c>
      <c r="R667" s="154"/>
      <c r="S667" s="73">
        <f t="shared" si="84"/>
        <v>301.95309900000001</v>
      </c>
    </row>
    <row r="668" spans="1:19" ht="15">
      <c r="A668" s="161" t="s">
        <v>296</v>
      </c>
      <c r="B668" t="s">
        <v>430</v>
      </c>
      <c r="C668" t="s">
        <v>431</v>
      </c>
      <c r="D668" t="s">
        <v>420</v>
      </c>
      <c r="E668" t="s">
        <v>421</v>
      </c>
      <c r="F668" t="s">
        <v>301</v>
      </c>
      <c r="G668" s="213">
        <v>109001</v>
      </c>
      <c r="H668" t="s">
        <v>324</v>
      </c>
      <c r="I668">
        <v>201</v>
      </c>
      <c r="J668" t="s">
        <v>304</v>
      </c>
      <c r="K668" t="s">
        <v>432</v>
      </c>
      <c r="L668" t="s">
        <v>305</v>
      </c>
      <c r="M668">
        <v>264.62</v>
      </c>
      <c r="P668">
        <v>0</v>
      </c>
      <c r="Q668" s="124">
        <f t="shared" ref="Q668:Q669" si="85">M668-P668</f>
        <v>264.62</v>
      </c>
      <c r="R668" s="124">
        <f>M668*-1.141</f>
        <v>-301.93142</v>
      </c>
    </row>
    <row r="669" spans="1:19" ht="15">
      <c r="A669" s="161" t="s">
        <v>296</v>
      </c>
      <c r="B669" t="s">
        <v>430</v>
      </c>
      <c r="C669" t="s">
        <v>431</v>
      </c>
      <c r="D669" t="s">
        <v>420</v>
      </c>
      <c r="E669" t="s">
        <v>421</v>
      </c>
      <c r="F669" t="s">
        <v>301</v>
      </c>
      <c r="G669" s="213">
        <v>109901</v>
      </c>
      <c r="H669" t="s">
        <v>309</v>
      </c>
      <c r="I669">
        <v>201</v>
      </c>
      <c r="J669" t="s">
        <v>304</v>
      </c>
      <c r="K669" t="s">
        <v>432</v>
      </c>
      <c r="L669" t="s">
        <v>305</v>
      </c>
      <c r="M669">
        <v>421.14</v>
      </c>
      <c r="P669">
        <v>0</v>
      </c>
      <c r="Q669" s="124">
        <f t="shared" si="85"/>
        <v>421.14</v>
      </c>
      <c r="R669" s="154"/>
    </row>
    <row r="670" spans="1:19" ht="15">
      <c r="A670" s="161" t="s">
        <v>296</v>
      </c>
      <c r="B670" t="s">
        <v>430</v>
      </c>
      <c r="C670" t="s">
        <v>431</v>
      </c>
      <c r="D670" t="s">
        <v>420</v>
      </c>
      <c r="E670" t="s">
        <v>421</v>
      </c>
      <c r="F670" t="s">
        <v>301</v>
      </c>
      <c r="G670">
        <v>101001</v>
      </c>
      <c r="H670" t="s">
        <v>329</v>
      </c>
      <c r="I670">
        <v>221</v>
      </c>
      <c r="J670" t="s">
        <v>304</v>
      </c>
      <c r="K670" t="s">
        <v>434</v>
      </c>
      <c r="L670" t="s">
        <v>305</v>
      </c>
      <c r="M670">
        <v>3379.84</v>
      </c>
      <c r="P670">
        <v>0</v>
      </c>
      <c r="R670" s="154"/>
      <c r="S670" s="73">
        <f t="shared" ref="S670:S733" si="86">M670*$S$7*1.141</f>
        <v>385.63974400000006</v>
      </c>
    </row>
    <row r="671" spans="1:19" ht="15">
      <c r="A671" s="161" t="s">
        <v>296</v>
      </c>
      <c r="B671" t="s">
        <v>430</v>
      </c>
      <c r="C671" t="s">
        <v>431</v>
      </c>
      <c r="D671" t="s">
        <v>420</v>
      </c>
      <c r="E671" t="s">
        <v>421</v>
      </c>
      <c r="F671" t="s">
        <v>301</v>
      </c>
      <c r="G671">
        <v>101001</v>
      </c>
      <c r="H671" t="s">
        <v>329</v>
      </c>
      <c r="I671">
        <v>221</v>
      </c>
      <c r="J671" t="s">
        <v>304</v>
      </c>
      <c r="K671" t="s">
        <v>435</v>
      </c>
      <c r="L671" t="s">
        <v>305</v>
      </c>
      <c r="M671">
        <v>4003.6</v>
      </c>
      <c r="P671">
        <v>0</v>
      </c>
      <c r="R671" s="154"/>
      <c r="S671" s="73">
        <f t="shared" si="86"/>
        <v>456.81076000000002</v>
      </c>
    </row>
    <row r="672" spans="1:19" ht="15">
      <c r="A672" s="161" t="s">
        <v>296</v>
      </c>
      <c r="B672" t="s">
        <v>430</v>
      </c>
      <c r="C672" t="s">
        <v>431</v>
      </c>
      <c r="D672" t="s">
        <v>420</v>
      </c>
      <c r="E672" t="s">
        <v>421</v>
      </c>
      <c r="F672" t="s">
        <v>301</v>
      </c>
      <c r="G672">
        <v>101001</v>
      </c>
      <c r="H672" t="s">
        <v>329</v>
      </c>
      <c r="I672">
        <v>221</v>
      </c>
      <c r="J672" t="s">
        <v>304</v>
      </c>
      <c r="K672" t="s">
        <v>432</v>
      </c>
      <c r="L672" t="s">
        <v>305</v>
      </c>
      <c r="M672">
        <v>244.22</v>
      </c>
      <c r="P672">
        <v>0</v>
      </c>
      <c r="R672" s="154"/>
      <c r="S672" s="73">
        <f t="shared" si="86"/>
        <v>27.865501999999999</v>
      </c>
    </row>
    <row r="673" spans="1:19" ht="15">
      <c r="A673" s="161" t="s">
        <v>296</v>
      </c>
      <c r="B673" t="s">
        <v>430</v>
      </c>
      <c r="C673" t="s">
        <v>431</v>
      </c>
      <c r="D673" t="s">
        <v>420</v>
      </c>
      <c r="E673" t="s">
        <v>421</v>
      </c>
      <c r="F673" t="s">
        <v>301</v>
      </c>
      <c r="G673">
        <v>101001</v>
      </c>
      <c r="H673" t="s">
        <v>329</v>
      </c>
      <c r="I673">
        <v>221</v>
      </c>
      <c r="J673" t="s">
        <v>304</v>
      </c>
      <c r="K673" t="s">
        <v>436</v>
      </c>
      <c r="L673" t="s">
        <v>305</v>
      </c>
      <c r="M673">
        <v>2007.49</v>
      </c>
      <c r="P673">
        <v>0</v>
      </c>
      <c r="R673" s="154"/>
      <c r="S673" s="73">
        <f t="shared" si="86"/>
        <v>229.05460900000003</v>
      </c>
    </row>
    <row r="674" spans="1:19" ht="15">
      <c r="A674" s="161" t="s">
        <v>296</v>
      </c>
      <c r="B674" t="s">
        <v>430</v>
      </c>
      <c r="C674" t="s">
        <v>431</v>
      </c>
      <c r="D674" t="s">
        <v>420</v>
      </c>
      <c r="E674" t="s">
        <v>421</v>
      </c>
      <c r="F674" t="s">
        <v>301</v>
      </c>
      <c r="G674">
        <v>101001</v>
      </c>
      <c r="H674" t="s">
        <v>329</v>
      </c>
      <c r="I674">
        <v>221</v>
      </c>
      <c r="J674" t="s">
        <v>304</v>
      </c>
      <c r="K674" t="s">
        <v>437</v>
      </c>
      <c r="L674" t="s">
        <v>305</v>
      </c>
      <c r="M674">
        <v>20435.060000000001</v>
      </c>
      <c r="P674">
        <v>0</v>
      </c>
      <c r="R674" s="154"/>
      <c r="S674" s="73">
        <f t="shared" si="86"/>
        <v>2331.6403460000006</v>
      </c>
    </row>
    <row r="675" spans="1:19" ht="15">
      <c r="A675" s="161" t="s">
        <v>296</v>
      </c>
      <c r="B675" t="s">
        <v>430</v>
      </c>
      <c r="C675" t="s">
        <v>431</v>
      </c>
      <c r="D675" t="s">
        <v>420</v>
      </c>
      <c r="E675" t="s">
        <v>421</v>
      </c>
      <c r="F675" t="s">
        <v>301</v>
      </c>
      <c r="G675">
        <v>101001</v>
      </c>
      <c r="H675" t="s">
        <v>329</v>
      </c>
      <c r="I675">
        <v>221</v>
      </c>
      <c r="J675" t="s">
        <v>304</v>
      </c>
      <c r="K675" t="s">
        <v>402</v>
      </c>
      <c r="L675" t="s">
        <v>305</v>
      </c>
      <c r="M675">
        <v>22006.99</v>
      </c>
      <c r="P675">
        <v>0</v>
      </c>
      <c r="R675" s="154"/>
      <c r="S675" s="73">
        <f t="shared" si="86"/>
        <v>2510.9975589999999</v>
      </c>
    </row>
    <row r="676" spans="1:19" ht="15">
      <c r="A676" s="161" t="s">
        <v>296</v>
      </c>
      <c r="B676" t="s">
        <v>430</v>
      </c>
      <c r="C676" t="s">
        <v>431</v>
      </c>
      <c r="D676" t="s">
        <v>420</v>
      </c>
      <c r="E676" t="s">
        <v>421</v>
      </c>
      <c r="F676" t="s">
        <v>301</v>
      </c>
      <c r="G676">
        <v>101001</v>
      </c>
      <c r="H676" t="s">
        <v>329</v>
      </c>
      <c r="I676">
        <v>221</v>
      </c>
      <c r="J676" t="s">
        <v>304</v>
      </c>
      <c r="K676" t="s">
        <v>438</v>
      </c>
      <c r="L676" t="s">
        <v>305</v>
      </c>
      <c r="M676">
        <v>17291.21</v>
      </c>
      <c r="P676">
        <v>0</v>
      </c>
      <c r="R676" s="154"/>
      <c r="S676" s="73">
        <f t="shared" si="86"/>
        <v>1972.9270610000001</v>
      </c>
    </row>
    <row r="677" spans="1:19" ht="15">
      <c r="A677" s="161" t="s">
        <v>296</v>
      </c>
      <c r="B677" t="s">
        <v>430</v>
      </c>
      <c r="C677" t="s">
        <v>431</v>
      </c>
      <c r="D677" t="s">
        <v>420</v>
      </c>
      <c r="E677" t="s">
        <v>421</v>
      </c>
      <c r="F677" t="s">
        <v>301</v>
      </c>
      <c r="G677">
        <v>101001</v>
      </c>
      <c r="H677" t="s">
        <v>329</v>
      </c>
      <c r="I677">
        <v>221</v>
      </c>
      <c r="J677" t="s">
        <v>304</v>
      </c>
      <c r="K677" t="s">
        <v>439</v>
      </c>
      <c r="L677" t="s">
        <v>305</v>
      </c>
      <c r="M677">
        <v>15719.28</v>
      </c>
      <c r="P677">
        <v>0</v>
      </c>
      <c r="R677" s="154"/>
      <c r="S677" s="73">
        <f t="shared" si="86"/>
        <v>1793.5698480000001</v>
      </c>
    </row>
    <row r="678" spans="1:19" ht="15">
      <c r="A678" s="161" t="s">
        <v>296</v>
      </c>
      <c r="B678" t="s">
        <v>430</v>
      </c>
      <c r="C678" t="s">
        <v>431</v>
      </c>
      <c r="D678" t="s">
        <v>420</v>
      </c>
      <c r="E678" t="s">
        <v>421</v>
      </c>
      <c r="F678" t="s">
        <v>301</v>
      </c>
      <c r="G678">
        <v>101001</v>
      </c>
      <c r="H678" t="s">
        <v>329</v>
      </c>
      <c r="I678">
        <v>221</v>
      </c>
      <c r="J678" t="s">
        <v>304</v>
      </c>
      <c r="K678" t="s">
        <v>440</v>
      </c>
      <c r="L678" t="s">
        <v>305</v>
      </c>
      <c r="M678">
        <v>14147.35</v>
      </c>
      <c r="P678">
        <v>0</v>
      </c>
      <c r="R678" s="154"/>
      <c r="S678" s="73">
        <f t="shared" si="86"/>
        <v>1614.2126350000001</v>
      </c>
    </row>
    <row r="679" spans="1:19" ht="15">
      <c r="A679" s="161" t="s">
        <v>296</v>
      </c>
      <c r="B679" t="s">
        <v>430</v>
      </c>
      <c r="C679" t="s">
        <v>431</v>
      </c>
      <c r="D679" t="s">
        <v>420</v>
      </c>
      <c r="E679" t="s">
        <v>421</v>
      </c>
      <c r="F679" t="s">
        <v>301</v>
      </c>
      <c r="G679">
        <v>101001</v>
      </c>
      <c r="H679" t="s">
        <v>329</v>
      </c>
      <c r="I679">
        <v>221</v>
      </c>
      <c r="J679" t="s">
        <v>304</v>
      </c>
      <c r="K679" t="s">
        <v>441</v>
      </c>
      <c r="L679" t="s">
        <v>305</v>
      </c>
      <c r="M679">
        <v>22007.040000000001</v>
      </c>
      <c r="P679">
        <v>0</v>
      </c>
      <c r="R679" s="154"/>
      <c r="S679" s="73">
        <f t="shared" si="86"/>
        <v>2511.0032640000004</v>
      </c>
    </row>
    <row r="680" spans="1:19" ht="15">
      <c r="A680" s="161" t="s">
        <v>296</v>
      </c>
      <c r="B680" t="s">
        <v>430</v>
      </c>
      <c r="C680" t="s">
        <v>431</v>
      </c>
      <c r="D680" t="s">
        <v>420</v>
      </c>
      <c r="E680" t="s">
        <v>421</v>
      </c>
      <c r="F680" t="s">
        <v>301</v>
      </c>
      <c r="G680">
        <v>101001</v>
      </c>
      <c r="H680" t="s">
        <v>329</v>
      </c>
      <c r="I680">
        <v>221</v>
      </c>
      <c r="J680" t="s">
        <v>304</v>
      </c>
      <c r="K680" t="s">
        <v>442</v>
      </c>
      <c r="L680" t="s">
        <v>305</v>
      </c>
      <c r="M680">
        <v>2057.23</v>
      </c>
      <c r="P680">
        <v>0</v>
      </c>
      <c r="R680" s="154"/>
      <c r="S680" s="73">
        <f t="shared" si="86"/>
        <v>234.72994300000002</v>
      </c>
    </row>
    <row r="681" spans="1:19" ht="15">
      <c r="A681" s="161" t="s">
        <v>296</v>
      </c>
      <c r="B681" t="s">
        <v>430</v>
      </c>
      <c r="C681" t="s">
        <v>431</v>
      </c>
      <c r="D681" t="s">
        <v>420</v>
      </c>
      <c r="E681" t="s">
        <v>421</v>
      </c>
      <c r="F681" t="s">
        <v>301</v>
      </c>
      <c r="G681">
        <v>101001</v>
      </c>
      <c r="H681" t="s">
        <v>329</v>
      </c>
      <c r="I681">
        <v>221</v>
      </c>
      <c r="J681" t="s">
        <v>304</v>
      </c>
      <c r="K681" t="s">
        <v>443</v>
      </c>
      <c r="L681" t="s">
        <v>305</v>
      </c>
      <c r="M681">
        <v>20435.060000000001</v>
      </c>
      <c r="P681">
        <v>0</v>
      </c>
      <c r="R681" s="154"/>
      <c r="S681" s="73">
        <f t="shared" si="86"/>
        <v>2331.6403460000006</v>
      </c>
    </row>
    <row r="682" spans="1:19" ht="15">
      <c r="A682" s="161" t="s">
        <v>296</v>
      </c>
      <c r="B682" t="s">
        <v>430</v>
      </c>
      <c r="C682" t="s">
        <v>431</v>
      </c>
      <c r="D682" t="s">
        <v>420</v>
      </c>
      <c r="E682" t="s">
        <v>421</v>
      </c>
      <c r="F682" t="s">
        <v>301</v>
      </c>
      <c r="G682">
        <v>101001</v>
      </c>
      <c r="H682" t="s">
        <v>329</v>
      </c>
      <c r="I682">
        <v>221</v>
      </c>
      <c r="J682" t="s">
        <v>304</v>
      </c>
      <c r="K682" t="s">
        <v>444</v>
      </c>
      <c r="L682" t="s">
        <v>305</v>
      </c>
      <c r="M682">
        <v>15719.28</v>
      </c>
      <c r="P682">
        <v>0</v>
      </c>
      <c r="R682" s="154"/>
      <c r="S682" s="73">
        <f t="shared" si="86"/>
        <v>1793.5698480000001</v>
      </c>
    </row>
    <row r="683" spans="1:19" ht="15">
      <c r="A683" s="161" t="s">
        <v>296</v>
      </c>
      <c r="B683" t="s">
        <v>430</v>
      </c>
      <c r="C683" t="s">
        <v>431</v>
      </c>
      <c r="D683" t="s">
        <v>420</v>
      </c>
      <c r="E683" t="s">
        <v>421</v>
      </c>
      <c r="F683" t="s">
        <v>301</v>
      </c>
      <c r="G683">
        <v>101001</v>
      </c>
      <c r="H683" t="s">
        <v>329</v>
      </c>
      <c r="I683">
        <v>221</v>
      </c>
      <c r="J683" t="s">
        <v>304</v>
      </c>
      <c r="K683" t="s">
        <v>403</v>
      </c>
      <c r="L683" t="s">
        <v>305</v>
      </c>
      <c r="M683">
        <v>15719.28</v>
      </c>
      <c r="P683">
        <v>0</v>
      </c>
      <c r="R683" s="154"/>
      <c r="S683" s="73">
        <f t="shared" si="86"/>
        <v>1793.5698480000001</v>
      </c>
    </row>
    <row r="684" spans="1:19" ht="15">
      <c r="A684" s="161" t="s">
        <v>296</v>
      </c>
      <c r="B684" t="s">
        <v>430</v>
      </c>
      <c r="C684" t="s">
        <v>431</v>
      </c>
      <c r="D684" t="s">
        <v>420</v>
      </c>
      <c r="E684" t="s">
        <v>421</v>
      </c>
      <c r="F684" t="s">
        <v>301</v>
      </c>
      <c r="G684">
        <v>101001</v>
      </c>
      <c r="H684" t="s">
        <v>329</v>
      </c>
      <c r="I684">
        <v>221</v>
      </c>
      <c r="J684" t="s">
        <v>304</v>
      </c>
      <c r="K684" t="s">
        <v>404</v>
      </c>
      <c r="L684" t="s">
        <v>305</v>
      </c>
      <c r="M684">
        <v>18863.14</v>
      </c>
      <c r="P684">
        <v>0</v>
      </c>
      <c r="R684" s="154"/>
      <c r="S684" s="73">
        <f t="shared" si="86"/>
        <v>2152.2842740000001</v>
      </c>
    </row>
    <row r="685" spans="1:19" ht="15">
      <c r="A685" s="161" t="s">
        <v>296</v>
      </c>
      <c r="B685" t="s">
        <v>430</v>
      </c>
      <c r="C685" t="s">
        <v>431</v>
      </c>
      <c r="D685" t="s">
        <v>420</v>
      </c>
      <c r="E685" t="s">
        <v>421</v>
      </c>
      <c r="F685" t="s">
        <v>301</v>
      </c>
      <c r="G685">
        <v>101001</v>
      </c>
      <c r="H685" t="s">
        <v>329</v>
      </c>
      <c r="I685">
        <v>221</v>
      </c>
      <c r="J685" t="s">
        <v>304</v>
      </c>
      <c r="K685" t="s">
        <v>445</v>
      </c>
      <c r="L685" t="s">
        <v>305</v>
      </c>
      <c r="M685">
        <v>33010.49</v>
      </c>
      <c r="P685">
        <v>0</v>
      </c>
      <c r="R685" s="154"/>
      <c r="S685" s="73">
        <f t="shared" si="86"/>
        <v>3766.496909</v>
      </c>
    </row>
    <row r="686" spans="1:19" ht="15">
      <c r="A686" s="161" t="s">
        <v>296</v>
      </c>
      <c r="B686" t="s">
        <v>430</v>
      </c>
      <c r="C686" t="s">
        <v>431</v>
      </c>
      <c r="D686" t="s">
        <v>420</v>
      </c>
      <c r="E686" t="s">
        <v>421</v>
      </c>
      <c r="F686" t="s">
        <v>301</v>
      </c>
      <c r="G686">
        <v>101001</v>
      </c>
      <c r="H686" t="s">
        <v>329</v>
      </c>
      <c r="I686">
        <v>221</v>
      </c>
      <c r="J686" t="s">
        <v>304</v>
      </c>
      <c r="K686" t="s">
        <v>446</v>
      </c>
      <c r="L686" t="s">
        <v>305</v>
      </c>
      <c r="M686">
        <v>16283.89</v>
      </c>
      <c r="P686">
        <v>0</v>
      </c>
      <c r="R686" s="154"/>
      <c r="S686" s="73">
        <f t="shared" si="86"/>
        <v>1857.9918490000002</v>
      </c>
    </row>
    <row r="687" spans="1:19" ht="15">
      <c r="A687" s="161" t="s">
        <v>296</v>
      </c>
      <c r="B687" t="s">
        <v>430</v>
      </c>
      <c r="C687" t="s">
        <v>431</v>
      </c>
      <c r="D687" t="s">
        <v>420</v>
      </c>
      <c r="E687" t="s">
        <v>421</v>
      </c>
      <c r="F687" t="s">
        <v>301</v>
      </c>
      <c r="G687">
        <v>101001</v>
      </c>
      <c r="H687" t="s">
        <v>329</v>
      </c>
      <c r="I687">
        <v>221</v>
      </c>
      <c r="J687" t="s">
        <v>304</v>
      </c>
      <c r="K687" t="s">
        <v>447</v>
      </c>
      <c r="L687" t="s">
        <v>305</v>
      </c>
      <c r="M687">
        <v>28294.71</v>
      </c>
      <c r="P687">
        <v>0</v>
      </c>
      <c r="R687" s="154"/>
      <c r="S687" s="73">
        <f t="shared" si="86"/>
        <v>3228.4264109999999</v>
      </c>
    </row>
    <row r="688" spans="1:19" ht="15">
      <c r="A688" s="161" t="s">
        <v>296</v>
      </c>
      <c r="B688" t="s">
        <v>430</v>
      </c>
      <c r="C688" t="s">
        <v>431</v>
      </c>
      <c r="D688" t="s">
        <v>420</v>
      </c>
      <c r="E688" t="s">
        <v>421</v>
      </c>
      <c r="F688" t="s">
        <v>301</v>
      </c>
      <c r="G688">
        <v>101001</v>
      </c>
      <c r="H688" t="s">
        <v>329</v>
      </c>
      <c r="I688">
        <v>221</v>
      </c>
      <c r="J688" t="s">
        <v>304</v>
      </c>
      <c r="K688" t="s">
        <v>448</v>
      </c>
      <c r="L688" t="s">
        <v>305</v>
      </c>
      <c r="M688">
        <v>11003.5</v>
      </c>
      <c r="P688">
        <v>0</v>
      </c>
      <c r="R688" s="154"/>
      <c r="S688" s="73">
        <f t="shared" si="86"/>
        <v>1255.4993500000003</v>
      </c>
    </row>
    <row r="689" spans="1:19" ht="15">
      <c r="A689" s="161" t="s">
        <v>296</v>
      </c>
      <c r="B689" t="s">
        <v>430</v>
      </c>
      <c r="C689" t="s">
        <v>431</v>
      </c>
      <c r="D689" t="s">
        <v>420</v>
      </c>
      <c r="E689" t="s">
        <v>421</v>
      </c>
      <c r="F689" t="s">
        <v>301</v>
      </c>
      <c r="G689">
        <v>101001</v>
      </c>
      <c r="H689" t="s">
        <v>329</v>
      </c>
      <c r="I689">
        <v>221</v>
      </c>
      <c r="J689" t="s">
        <v>304</v>
      </c>
      <c r="K689" t="s">
        <v>449</v>
      </c>
      <c r="L689" t="s">
        <v>305</v>
      </c>
      <c r="M689">
        <v>12575.43</v>
      </c>
      <c r="P689">
        <v>0</v>
      </c>
      <c r="R689" s="154"/>
      <c r="S689" s="73">
        <f t="shared" si="86"/>
        <v>1434.8565630000001</v>
      </c>
    </row>
    <row r="690" spans="1:19" ht="15">
      <c r="A690" s="161" t="s">
        <v>296</v>
      </c>
      <c r="B690" t="s">
        <v>430</v>
      </c>
      <c r="C690" t="s">
        <v>431</v>
      </c>
      <c r="D690" t="s">
        <v>420</v>
      </c>
      <c r="E690" t="s">
        <v>421</v>
      </c>
      <c r="F690" t="s">
        <v>301</v>
      </c>
      <c r="G690">
        <v>101001</v>
      </c>
      <c r="H690" t="s">
        <v>329</v>
      </c>
      <c r="I690">
        <v>221</v>
      </c>
      <c r="J690" t="s">
        <v>304</v>
      </c>
      <c r="K690" t="s">
        <v>450</v>
      </c>
      <c r="L690" t="s">
        <v>305</v>
      </c>
      <c r="M690">
        <v>16662.439999999999</v>
      </c>
      <c r="P690">
        <v>0</v>
      </c>
      <c r="R690" s="154"/>
      <c r="S690" s="73">
        <f t="shared" si="86"/>
        <v>1901.1844039999999</v>
      </c>
    </row>
    <row r="691" spans="1:19" ht="15">
      <c r="A691" s="161" t="s">
        <v>296</v>
      </c>
      <c r="B691" t="s">
        <v>430</v>
      </c>
      <c r="C691" t="s">
        <v>431</v>
      </c>
      <c r="D691" t="s">
        <v>420</v>
      </c>
      <c r="E691" t="s">
        <v>421</v>
      </c>
      <c r="F691" t="s">
        <v>301</v>
      </c>
      <c r="G691">
        <v>101001</v>
      </c>
      <c r="H691" t="s">
        <v>329</v>
      </c>
      <c r="I691">
        <v>221</v>
      </c>
      <c r="J691" t="s">
        <v>304</v>
      </c>
      <c r="K691" t="s">
        <v>451</v>
      </c>
      <c r="L691" t="s">
        <v>305</v>
      </c>
      <c r="M691">
        <v>13518.58</v>
      </c>
      <c r="P691">
        <v>0</v>
      </c>
      <c r="R691" s="154"/>
      <c r="S691" s="73">
        <f t="shared" si="86"/>
        <v>1542.4699780000003</v>
      </c>
    </row>
    <row r="692" spans="1:19" ht="15">
      <c r="A692" s="161" t="s">
        <v>296</v>
      </c>
      <c r="B692" t="s">
        <v>430</v>
      </c>
      <c r="C692" t="s">
        <v>431</v>
      </c>
      <c r="D692" t="s">
        <v>420</v>
      </c>
      <c r="E692" t="s">
        <v>421</v>
      </c>
      <c r="F692" t="s">
        <v>301</v>
      </c>
      <c r="G692">
        <v>101001</v>
      </c>
      <c r="H692" t="s">
        <v>329</v>
      </c>
      <c r="I692">
        <v>221</v>
      </c>
      <c r="J692" t="s">
        <v>304</v>
      </c>
      <c r="K692" t="s">
        <v>452</v>
      </c>
      <c r="L692" t="s">
        <v>305</v>
      </c>
      <c r="M692">
        <v>33170.89</v>
      </c>
      <c r="P692">
        <v>0</v>
      </c>
      <c r="R692" s="154"/>
      <c r="S692" s="73">
        <f t="shared" si="86"/>
        <v>3784.7985490000001</v>
      </c>
    </row>
    <row r="693" spans="1:19" ht="15">
      <c r="A693" s="161" t="s">
        <v>296</v>
      </c>
      <c r="B693" t="s">
        <v>430</v>
      </c>
      <c r="C693" t="s">
        <v>431</v>
      </c>
      <c r="D693" t="s">
        <v>420</v>
      </c>
      <c r="E693" t="s">
        <v>421</v>
      </c>
      <c r="F693" t="s">
        <v>301</v>
      </c>
      <c r="G693">
        <v>101001</v>
      </c>
      <c r="H693" t="s">
        <v>329</v>
      </c>
      <c r="I693">
        <v>221</v>
      </c>
      <c r="J693" t="s">
        <v>304</v>
      </c>
      <c r="K693" t="s">
        <v>453</v>
      </c>
      <c r="L693" t="s">
        <v>305</v>
      </c>
      <c r="M693">
        <v>18234.36</v>
      </c>
      <c r="P693">
        <v>0</v>
      </c>
      <c r="R693" s="154"/>
      <c r="S693" s="73">
        <f t="shared" si="86"/>
        <v>2080.5404760000001</v>
      </c>
    </row>
    <row r="694" spans="1:19" ht="15">
      <c r="A694" s="161" t="s">
        <v>296</v>
      </c>
      <c r="B694" t="s">
        <v>430</v>
      </c>
      <c r="C694" t="s">
        <v>431</v>
      </c>
      <c r="D694" t="s">
        <v>420</v>
      </c>
      <c r="E694" t="s">
        <v>421</v>
      </c>
      <c r="F694" t="s">
        <v>301</v>
      </c>
      <c r="G694">
        <v>101001</v>
      </c>
      <c r="H694" t="s">
        <v>329</v>
      </c>
      <c r="I694">
        <v>221</v>
      </c>
      <c r="J694" t="s">
        <v>304</v>
      </c>
      <c r="K694" t="s">
        <v>417</v>
      </c>
      <c r="L694" t="s">
        <v>305</v>
      </c>
      <c r="M694">
        <v>22616.52</v>
      </c>
      <c r="P694">
        <v>0</v>
      </c>
      <c r="R694" s="154"/>
      <c r="S694" s="73">
        <f t="shared" si="86"/>
        <v>2580.5449320000002</v>
      </c>
    </row>
    <row r="695" spans="1:19" ht="15">
      <c r="A695" s="161" t="s">
        <v>296</v>
      </c>
      <c r="B695" t="s">
        <v>430</v>
      </c>
      <c r="C695" t="s">
        <v>431</v>
      </c>
      <c r="D695" t="s">
        <v>420</v>
      </c>
      <c r="E695" t="s">
        <v>421</v>
      </c>
      <c r="F695" t="s">
        <v>301</v>
      </c>
      <c r="G695">
        <v>101001</v>
      </c>
      <c r="H695" t="s">
        <v>329</v>
      </c>
      <c r="I695">
        <v>221</v>
      </c>
      <c r="J695" t="s">
        <v>304</v>
      </c>
      <c r="K695" t="s">
        <v>454</v>
      </c>
      <c r="L695" t="s">
        <v>305</v>
      </c>
      <c r="M695">
        <v>24522.080000000002</v>
      </c>
      <c r="P695">
        <v>0</v>
      </c>
      <c r="R695" s="154"/>
      <c r="S695" s="73">
        <f t="shared" si="86"/>
        <v>2797.9693280000001</v>
      </c>
    </row>
    <row r="696" spans="1:19" ht="15">
      <c r="A696" s="161" t="s">
        <v>296</v>
      </c>
      <c r="B696" t="s">
        <v>430</v>
      </c>
      <c r="C696" t="s">
        <v>431</v>
      </c>
      <c r="D696" t="s">
        <v>420</v>
      </c>
      <c r="E696" t="s">
        <v>421</v>
      </c>
      <c r="F696" t="s">
        <v>301</v>
      </c>
      <c r="G696">
        <v>101001</v>
      </c>
      <c r="H696" t="s">
        <v>329</v>
      </c>
      <c r="I696">
        <v>221</v>
      </c>
      <c r="J696" t="s">
        <v>304</v>
      </c>
      <c r="K696" t="s">
        <v>455</v>
      </c>
      <c r="L696" t="s">
        <v>305</v>
      </c>
      <c r="M696">
        <v>11003.5</v>
      </c>
      <c r="P696">
        <v>0</v>
      </c>
      <c r="R696" s="154"/>
      <c r="S696" s="73">
        <f t="shared" si="86"/>
        <v>1255.4993500000003</v>
      </c>
    </row>
    <row r="697" spans="1:19" ht="15">
      <c r="A697" s="161" t="s">
        <v>296</v>
      </c>
      <c r="B697" t="s">
        <v>430</v>
      </c>
      <c r="C697" t="s">
        <v>431</v>
      </c>
      <c r="D697" t="s">
        <v>420</v>
      </c>
      <c r="E697" t="s">
        <v>421</v>
      </c>
      <c r="F697" t="s">
        <v>301</v>
      </c>
      <c r="G697">
        <v>101001</v>
      </c>
      <c r="H697" t="s">
        <v>329</v>
      </c>
      <c r="I697">
        <v>221</v>
      </c>
      <c r="J697" t="s">
        <v>456</v>
      </c>
      <c r="K697" t="s">
        <v>457</v>
      </c>
      <c r="L697" t="s">
        <v>305</v>
      </c>
      <c r="M697">
        <v>5254.73</v>
      </c>
      <c r="P697">
        <v>0</v>
      </c>
      <c r="R697" s="154"/>
      <c r="S697" s="73">
        <f t="shared" si="86"/>
        <v>599.56469299999992</v>
      </c>
    </row>
    <row r="698" spans="1:19" ht="15">
      <c r="A698" s="161" t="s">
        <v>296</v>
      </c>
      <c r="B698" t="s">
        <v>430</v>
      </c>
      <c r="C698" t="s">
        <v>431</v>
      </c>
      <c r="D698" t="s">
        <v>420</v>
      </c>
      <c r="E698" t="s">
        <v>421</v>
      </c>
      <c r="F698" t="s">
        <v>301</v>
      </c>
      <c r="G698">
        <v>102001</v>
      </c>
      <c r="H698" t="s">
        <v>337</v>
      </c>
      <c r="I698">
        <v>221</v>
      </c>
      <c r="J698" t="s">
        <v>304</v>
      </c>
      <c r="K698" t="s">
        <v>434</v>
      </c>
      <c r="L698" t="s">
        <v>305</v>
      </c>
      <c r="M698">
        <v>275.70999999999998</v>
      </c>
      <c r="P698">
        <v>0</v>
      </c>
      <c r="R698" s="154"/>
      <c r="S698" s="73">
        <f t="shared" si="86"/>
        <v>31.458510999999998</v>
      </c>
    </row>
    <row r="699" spans="1:19" ht="15">
      <c r="A699" s="161" t="s">
        <v>296</v>
      </c>
      <c r="B699" t="s">
        <v>430</v>
      </c>
      <c r="C699" t="s">
        <v>431</v>
      </c>
      <c r="D699" t="s">
        <v>420</v>
      </c>
      <c r="E699" t="s">
        <v>421</v>
      </c>
      <c r="F699" t="s">
        <v>301</v>
      </c>
      <c r="G699">
        <v>102001</v>
      </c>
      <c r="H699" t="s">
        <v>337</v>
      </c>
      <c r="I699">
        <v>221</v>
      </c>
      <c r="J699" t="s">
        <v>304</v>
      </c>
      <c r="K699" t="s">
        <v>435</v>
      </c>
      <c r="L699" t="s">
        <v>305</v>
      </c>
      <c r="M699">
        <v>326.60000000000002</v>
      </c>
      <c r="P699">
        <v>0</v>
      </c>
      <c r="R699" s="154"/>
      <c r="S699" s="73">
        <f t="shared" si="86"/>
        <v>37.265060000000005</v>
      </c>
    </row>
    <row r="700" spans="1:19" ht="15">
      <c r="A700" s="161" t="s">
        <v>296</v>
      </c>
      <c r="B700" t="s">
        <v>430</v>
      </c>
      <c r="C700" t="s">
        <v>431</v>
      </c>
      <c r="D700" t="s">
        <v>420</v>
      </c>
      <c r="E700" t="s">
        <v>421</v>
      </c>
      <c r="F700" t="s">
        <v>301</v>
      </c>
      <c r="G700">
        <v>102001</v>
      </c>
      <c r="H700" t="s">
        <v>337</v>
      </c>
      <c r="I700">
        <v>221</v>
      </c>
      <c r="J700" t="s">
        <v>304</v>
      </c>
      <c r="K700" t="s">
        <v>432</v>
      </c>
      <c r="L700" t="s">
        <v>305</v>
      </c>
      <c r="M700">
        <v>19.920000000000002</v>
      </c>
      <c r="P700">
        <v>0</v>
      </c>
      <c r="R700" s="154"/>
      <c r="S700" s="73">
        <f t="shared" si="86"/>
        <v>2.2728720000000004</v>
      </c>
    </row>
    <row r="701" spans="1:19" ht="15">
      <c r="A701" s="161" t="s">
        <v>296</v>
      </c>
      <c r="B701" t="s">
        <v>430</v>
      </c>
      <c r="C701" t="s">
        <v>431</v>
      </c>
      <c r="D701" t="s">
        <v>420</v>
      </c>
      <c r="E701" t="s">
        <v>421</v>
      </c>
      <c r="F701" t="s">
        <v>301</v>
      </c>
      <c r="G701">
        <v>102001</v>
      </c>
      <c r="H701" t="s">
        <v>337</v>
      </c>
      <c r="I701">
        <v>221</v>
      </c>
      <c r="J701" t="s">
        <v>304</v>
      </c>
      <c r="K701" t="s">
        <v>436</v>
      </c>
      <c r="L701" t="s">
        <v>305</v>
      </c>
      <c r="M701">
        <v>164.21</v>
      </c>
      <c r="P701">
        <v>0</v>
      </c>
      <c r="R701" s="154"/>
      <c r="S701" s="73">
        <f t="shared" si="86"/>
        <v>18.736361000000002</v>
      </c>
    </row>
    <row r="702" spans="1:19" ht="15">
      <c r="A702" s="161" t="s">
        <v>296</v>
      </c>
      <c r="B702" t="s">
        <v>430</v>
      </c>
      <c r="C702" t="s">
        <v>431</v>
      </c>
      <c r="D702" t="s">
        <v>420</v>
      </c>
      <c r="E702" t="s">
        <v>421</v>
      </c>
      <c r="F702" t="s">
        <v>301</v>
      </c>
      <c r="G702">
        <v>102001</v>
      </c>
      <c r="H702" t="s">
        <v>337</v>
      </c>
      <c r="I702">
        <v>221</v>
      </c>
      <c r="J702" t="s">
        <v>304</v>
      </c>
      <c r="K702" t="s">
        <v>437</v>
      </c>
      <c r="L702" t="s">
        <v>305</v>
      </c>
      <c r="M702">
        <v>1667</v>
      </c>
      <c r="P702">
        <v>0</v>
      </c>
      <c r="R702" s="154"/>
      <c r="S702" s="73">
        <f t="shared" si="86"/>
        <v>190.20470000000003</v>
      </c>
    </row>
    <row r="703" spans="1:19" ht="15">
      <c r="A703" s="161" t="s">
        <v>296</v>
      </c>
      <c r="B703" t="s">
        <v>430</v>
      </c>
      <c r="C703" t="s">
        <v>431</v>
      </c>
      <c r="D703" t="s">
        <v>420</v>
      </c>
      <c r="E703" t="s">
        <v>421</v>
      </c>
      <c r="F703" t="s">
        <v>301</v>
      </c>
      <c r="G703">
        <v>102001</v>
      </c>
      <c r="H703" t="s">
        <v>337</v>
      </c>
      <c r="I703">
        <v>221</v>
      </c>
      <c r="J703" t="s">
        <v>304</v>
      </c>
      <c r="K703" t="s">
        <v>402</v>
      </c>
      <c r="L703" t="s">
        <v>305</v>
      </c>
      <c r="M703">
        <v>1795.22</v>
      </c>
      <c r="P703">
        <v>0</v>
      </c>
      <c r="R703" s="154"/>
      <c r="S703" s="73">
        <f t="shared" si="86"/>
        <v>204.83460200000002</v>
      </c>
    </row>
    <row r="704" spans="1:19" ht="15">
      <c r="A704" s="161" t="s">
        <v>296</v>
      </c>
      <c r="B704" t="s">
        <v>430</v>
      </c>
      <c r="C704" t="s">
        <v>431</v>
      </c>
      <c r="D704" t="s">
        <v>420</v>
      </c>
      <c r="E704" t="s">
        <v>421</v>
      </c>
      <c r="F704" t="s">
        <v>301</v>
      </c>
      <c r="G704">
        <v>102001</v>
      </c>
      <c r="H704" t="s">
        <v>337</v>
      </c>
      <c r="I704">
        <v>221</v>
      </c>
      <c r="J704" t="s">
        <v>304</v>
      </c>
      <c r="K704" t="s">
        <v>438</v>
      </c>
      <c r="L704" t="s">
        <v>305</v>
      </c>
      <c r="M704">
        <v>1410.53</v>
      </c>
      <c r="P704">
        <v>0</v>
      </c>
      <c r="R704" s="154"/>
      <c r="S704" s="73">
        <f t="shared" si="86"/>
        <v>160.941473</v>
      </c>
    </row>
    <row r="705" spans="1:19" ht="15">
      <c r="A705" s="161" t="s">
        <v>296</v>
      </c>
      <c r="B705" t="s">
        <v>430</v>
      </c>
      <c r="C705" t="s">
        <v>431</v>
      </c>
      <c r="D705" t="s">
        <v>420</v>
      </c>
      <c r="E705" t="s">
        <v>421</v>
      </c>
      <c r="F705" t="s">
        <v>301</v>
      </c>
      <c r="G705">
        <v>102001</v>
      </c>
      <c r="H705" t="s">
        <v>337</v>
      </c>
      <c r="I705">
        <v>221</v>
      </c>
      <c r="J705" t="s">
        <v>304</v>
      </c>
      <c r="K705" t="s">
        <v>439</v>
      </c>
      <c r="L705" t="s">
        <v>305</v>
      </c>
      <c r="M705">
        <v>1282.31</v>
      </c>
      <c r="P705">
        <v>0</v>
      </c>
      <c r="R705" s="154"/>
      <c r="S705" s="73">
        <f t="shared" si="86"/>
        <v>146.31157099999999</v>
      </c>
    </row>
    <row r="706" spans="1:19" ht="15">
      <c r="A706" s="161" t="s">
        <v>296</v>
      </c>
      <c r="B706" t="s">
        <v>430</v>
      </c>
      <c r="C706" t="s">
        <v>431</v>
      </c>
      <c r="D706" t="s">
        <v>420</v>
      </c>
      <c r="E706" t="s">
        <v>421</v>
      </c>
      <c r="F706" t="s">
        <v>301</v>
      </c>
      <c r="G706">
        <v>102001</v>
      </c>
      <c r="H706" t="s">
        <v>337</v>
      </c>
      <c r="I706">
        <v>221</v>
      </c>
      <c r="J706" t="s">
        <v>304</v>
      </c>
      <c r="K706" t="s">
        <v>440</v>
      </c>
      <c r="L706" t="s">
        <v>305</v>
      </c>
      <c r="M706">
        <v>1154.07</v>
      </c>
      <c r="P706">
        <v>0</v>
      </c>
      <c r="R706" s="154"/>
      <c r="S706" s="73">
        <f t="shared" si="86"/>
        <v>131.67938699999999</v>
      </c>
    </row>
    <row r="707" spans="1:19" ht="15">
      <c r="A707" s="161" t="s">
        <v>296</v>
      </c>
      <c r="B707" t="s">
        <v>430</v>
      </c>
      <c r="C707" t="s">
        <v>431</v>
      </c>
      <c r="D707" t="s">
        <v>420</v>
      </c>
      <c r="E707" t="s">
        <v>421</v>
      </c>
      <c r="F707" t="s">
        <v>301</v>
      </c>
      <c r="G707">
        <v>102001</v>
      </c>
      <c r="H707" t="s">
        <v>337</v>
      </c>
      <c r="I707">
        <v>221</v>
      </c>
      <c r="J707" t="s">
        <v>304</v>
      </c>
      <c r="K707" t="s">
        <v>441</v>
      </c>
      <c r="L707" t="s">
        <v>305</v>
      </c>
      <c r="M707">
        <v>1795.25</v>
      </c>
      <c r="P707">
        <v>0</v>
      </c>
      <c r="R707" s="154"/>
      <c r="S707" s="73">
        <f t="shared" si="86"/>
        <v>204.83802500000002</v>
      </c>
    </row>
    <row r="708" spans="1:19" ht="15">
      <c r="A708" s="161" t="s">
        <v>296</v>
      </c>
      <c r="B708" t="s">
        <v>430</v>
      </c>
      <c r="C708" t="s">
        <v>431</v>
      </c>
      <c r="D708" t="s">
        <v>420</v>
      </c>
      <c r="E708" t="s">
        <v>421</v>
      </c>
      <c r="F708" t="s">
        <v>301</v>
      </c>
      <c r="G708">
        <v>102001</v>
      </c>
      <c r="H708" t="s">
        <v>337</v>
      </c>
      <c r="I708">
        <v>221</v>
      </c>
      <c r="J708" t="s">
        <v>304</v>
      </c>
      <c r="K708" t="s">
        <v>442</v>
      </c>
      <c r="L708" t="s">
        <v>305</v>
      </c>
      <c r="M708">
        <v>155.75</v>
      </c>
      <c r="P708">
        <v>0</v>
      </c>
      <c r="R708" s="154"/>
      <c r="S708" s="73">
        <f t="shared" si="86"/>
        <v>17.771075</v>
      </c>
    </row>
    <row r="709" spans="1:19" ht="15">
      <c r="A709" s="161" t="s">
        <v>296</v>
      </c>
      <c r="B709" t="s">
        <v>430</v>
      </c>
      <c r="C709" t="s">
        <v>431</v>
      </c>
      <c r="D709" t="s">
        <v>420</v>
      </c>
      <c r="E709" t="s">
        <v>421</v>
      </c>
      <c r="F709" t="s">
        <v>301</v>
      </c>
      <c r="G709">
        <v>102001</v>
      </c>
      <c r="H709" t="s">
        <v>337</v>
      </c>
      <c r="I709">
        <v>221</v>
      </c>
      <c r="J709" t="s">
        <v>304</v>
      </c>
      <c r="K709" t="s">
        <v>443</v>
      </c>
      <c r="L709" t="s">
        <v>305</v>
      </c>
      <c r="M709">
        <v>1667</v>
      </c>
      <c r="P709">
        <v>0</v>
      </c>
      <c r="R709" s="154"/>
      <c r="S709" s="73">
        <f t="shared" si="86"/>
        <v>190.20470000000003</v>
      </c>
    </row>
    <row r="710" spans="1:19" ht="15">
      <c r="A710" s="161" t="s">
        <v>296</v>
      </c>
      <c r="B710" t="s">
        <v>430</v>
      </c>
      <c r="C710" t="s">
        <v>431</v>
      </c>
      <c r="D710" t="s">
        <v>420</v>
      </c>
      <c r="E710" t="s">
        <v>421</v>
      </c>
      <c r="F710" t="s">
        <v>301</v>
      </c>
      <c r="G710">
        <v>102001</v>
      </c>
      <c r="H710" t="s">
        <v>337</v>
      </c>
      <c r="I710">
        <v>221</v>
      </c>
      <c r="J710" t="s">
        <v>304</v>
      </c>
      <c r="K710" t="s">
        <v>444</v>
      </c>
      <c r="L710" t="s">
        <v>305</v>
      </c>
      <c r="M710">
        <v>1282.31</v>
      </c>
      <c r="P710">
        <v>0</v>
      </c>
      <c r="R710" s="154"/>
      <c r="S710" s="73">
        <f t="shared" si="86"/>
        <v>146.31157099999999</v>
      </c>
    </row>
    <row r="711" spans="1:19" ht="15">
      <c r="A711" s="161" t="s">
        <v>296</v>
      </c>
      <c r="B711" t="s">
        <v>430</v>
      </c>
      <c r="C711" t="s">
        <v>431</v>
      </c>
      <c r="D711" t="s">
        <v>420</v>
      </c>
      <c r="E711" t="s">
        <v>421</v>
      </c>
      <c r="F711" t="s">
        <v>301</v>
      </c>
      <c r="G711">
        <v>102001</v>
      </c>
      <c r="H711" t="s">
        <v>337</v>
      </c>
      <c r="I711">
        <v>221</v>
      </c>
      <c r="J711" t="s">
        <v>304</v>
      </c>
      <c r="K711" t="s">
        <v>403</v>
      </c>
      <c r="L711" t="s">
        <v>305</v>
      </c>
      <c r="M711">
        <v>1282.31</v>
      </c>
      <c r="P711">
        <v>0</v>
      </c>
      <c r="R711" s="154"/>
      <c r="S711" s="73">
        <f t="shared" si="86"/>
        <v>146.31157099999999</v>
      </c>
    </row>
    <row r="712" spans="1:19" ht="15">
      <c r="A712" s="161" t="s">
        <v>296</v>
      </c>
      <c r="B712" t="s">
        <v>430</v>
      </c>
      <c r="C712" t="s">
        <v>431</v>
      </c>
      <c r="D712" t="s">
        <v>420</v>
      </c>
      <c r="E712" t="s">
        <v>421</v>
      </c>
      <c r="F712" t="s">
        <v>301</v>
      </c>
      <c r="G712">
        <v>102001</v>
      </c>
      <c r="H712" t="s">
        <v>337</v>
      </c>
      <c r="I712">
        <v>221</v>
      </c>
      <c r="J712" t="s">
        <v>304</v>
      </c>
      <c r="K712" t="s">
        <v>404</v>
      </c>
      <c r="L712" t="s">
        <v>305</v>
      </c>
      <c r="M712">
        <v>1538.76</v>
      </c>
      <c r="P712">
        <v>0</v>
      </c>
      <c r="R712" s="154"/>
      <c r="S712" s="73">
        <f t="shared" si="86"/>
        <v>175.57251600000001</v>
      </c>
    </row>
    <row r="713" spans="1:19" ht="15">
      <c r="A713" s="161" t="s">
        <v>296</v>
      </c>
      <c r="B713" t="s">
        <v>430</v>
      </c>
      <c r="C713" t="s">
        <v>431</v>
      </c>
      <c r="D713" t="s">
        <v>420</v>
      </c>
      <c r="E713" t="s">
        <v>421</v>
      </c>
      <c r="F713" t="s">
        <v>301</v>
      </c>
      <c r="G713">
        <v>102001</v>
      </c>
      <c r="H713" t="s">
        <v>337</v>
      </c>
      <c r="I713">
        <v>221</v>
      </c>
      <c r="J713" t="s">
        <v>304</v>
      </c>
      <c r="K713" t="s">
        <v>445</v>
      </c>
      <c r="L713" t="s">
        <v>305</v>
      </c>
      <c r="M713">
        <v>2692.84</v>
      </c>
      <c r="P713">
        <v>0</v>
      </c>
      <c r="R713" s="154"/>
      <c r="S713" s="73">
        <f t="shared" si="86"/>
        <v>307.25304400000005</v>
      </c>
    </row>
    <row r="714" spans="1:19" ht="15">
      <c r="A714" s="161" t="s">
        <v>296</v>
      </c>
      <c r="B714" t="s">
        <v>430</v>
      </c>
      <c r="C714" t="s">
        <v>431</v>
      </c>
      <c r="D714" t="s">
        <v>420</v>
      </c>
      <c r="E714" t="s">
        <v>421</v>
      </c>
      <c r="F714" t="s">
        <v>301</v>
      </c>
      <c r="G714">
        <v>102001</v>
      </c>
      <c r="H714" t="s">
        <v>337</v>
      </c>
      <c r="I714">
        <v>221</v>
      </c>
      <c r="J714" t="s">
        <v>304</v>
      </c>
      <c r="K714" t="s">
        <v>446</v>
      </c>
      <c r="L714" t="s">
        <v>305</v>
      </c>
      <c r="M714">
        <v>1328.36</v>
      </c>
      <c r="P714">
        <v>0</v>
      </c>
      <c r="R714" s="154"/>
      <c r="S714" s="73">
        <f t="shared" si="86"/>
        <v>151.56587599999997</v>
      </c>
    </row>
    <row r="715" spans="1:19" ht="15">
      <c r="A715" s="161" t="s">
        <v>296</v>
      </c>
      <c r="B715" t="s">
        <v>430</v>
      </c>
      <c r="C715" t="s">
        <v>431</v>
      </c>
      <c r="D715" t="s">
        <v>420</v>
      </c>
      <c r="E715" t="s">
        <v>421</v>
      </c>
      <c r="F715" t="s">
        <v>301</v>
      </c>
      <c r="G715">
        <v>102001</v>
      </c>
      <c r="H715" t="s">
        <v>337</v>
      </c>
      <c r="I715">
        <v>221</v>
      </c>
      <c r="J715" t="s">
        <v>304</v>
      </c>
      <c r="K715" t="s">
        <v>447</v>
      </c>
      <c r="L715" t="s">
        <v>305</v>
      </c>
      <c r="M715">
        <v>2308.15</v>
      </c>
      <c r="P715">
        <v>0</v>
      </c>
      <c r="R715" s="154"/>
      <c r="S715" s="73">
        <f t="shared" si="86"/>
        <v>263.35991500000006</v>
      </c>
    </row>
    <row r="716" spans="1:19" ht="15">
      <c r="A716" s="161" t="s">
        <v>296</v>
      </c>
      <c r="B716" t="s">
        <v>430</v>
      </c>
      <c r="C716" t="s">
        <v>431</v>
      </c>
      <c r="D716" t="s">
        <v>420</v>
      </c>
      <c r="E716" t="s">
        <v>421</v>
      </c>
      <c r="F716" t="s">
        <v>301</v>
      </c>
      <c r="G716">
        <v>102001</v>
      </c>
      <c r="H716" t="s">
        <v>337</v>
      </c>
      <c r="I716">
        <v>221</v>
      </c>
      <c r="J716" t="s">
        <v>304</v>
      </c>
      <c r="K716" t="s">
        <v>448</v>
      </c>
      <c r="L716" t="s">
        <v>305</v>
      </c>
      <c r="M716">
        <v>897.62</v>
      </c>
      <c r="P716">
        <v>0</v>
      </c>
      <c r="R716" s="154"/>
      <c r="S716" s="73">
        <f t="shared" si="86"/>
        <v>102.418442</v>
      </c>
    </row>
    <row r="717" spans="1:19" ht="15">
      <c r="A717" s="161" t="s">
        <v>296</v>
      </c>
      <c r="B717" t="s">
        <v>430</v>
      </c>
      <c r="C717" t="s">
        <v>431</v>
      </c>
      <c r="D717" t="s">
        <v>420</v>
      </c>
      <c r="E717" t="s">
        <v>421</v>
      </c>
      <c r="F717" t="s">
        <v>301</v>
      </c>
      <c r="G717">
        <v>102001</v>
      </c>
      <c r="H717" t="s">
        <v>337</v>
      </c>
      <c r="I717">
        <v>221</v>
      </c>
      <c r="J717" t="s">
        <v>304</v>
      </c>
      <c r="K717" t="s">
        <v>449</v>
      </c>
      <c r="L717" t="s">
        <v>305</v>
      </c>
      <c r="M717">
        <v>1025.8399999999999</v>
      </c>
      <c r="P717">
        <v>0</v>
      </c>
      <c r="R717" s="154"/>
      <c r="S717" s="73">
        <f t="shared" si="86"/>
        <v>117.048344</v>
      </c>
    </row>
    <row r="718" spans="1:19" ht="15">
      <c r="A718" s="161" t="s">
        <v>296</v>
      </c>
      <c r="B718" t="s">
        <v>430</v>
      </c>
      <c r="C718" t="s">
        <v>431</v>
      </c>
      <c r="D718" t="s">
        <v>420</v>
      </c>
      <c r="E718" t="s">
        <v>421</v>
      </c>
      <c r="F718" t="s">
        <v>301</v>
      </c>
      <c r="G718">
        <v>102001</v>
      </c>
      <c r="H718" t="s">
        <v>337</v>
      </c>
      <c r="I718">
        <v>221</v>
      </c>
      <c r="J718" t="s">
        <v>304</v>
      </c>
      <c r="K718" t="s">
        <v>450</v>
      </c>
      <c r="L718" t="s">
        <v>305</v>
      </c>
      <c r="M718">
        <v>1359.24</v>
      </c>
      <c r="P718">
        <v>0</v>
      </c>
      <c r="R718" s="154"/>
      <c r="S718" s="73">
        <f t="shared" si="86"/>
        <v>155.08928400000002</v>
      </c>
    </row>
    <row r="719" spans="1:19" ht="15">
      <c r="A719" s="161" t="s">
        <v>296</v>
      </c>
      <c r="B719" t="s">
        <v>430</v>
      </c>
      <c r="C719" t="s">
        <v>431</v>
      </c>
      <c r="D719" t="s">
        <v>420</v>
      </c>
      <c r="E719" t="s">
        <v>421</v>
      </c>
      <c r="F719" t="s">
        <v>301</v>
      </c>
      <c r="G719">
        <v>102001</v>
      </c>
      <c r="H719" t="s">
        <v>337</v>
      </c>
      <c r="I719">
        <v>221</v>
      </c>
      <c r="J719" t="s">
        <v>304</v>
      </c>
      <c r="K719" t="s">
        <v>451</v>
      </c>
      <c r="L719" t="s">
        <v>305</v>
      </c>
      <c r="M719">
        <v>1102.79</v>
      </c>
      <c r="P719">
        <v>0</v>
      </c>
      <c r="R719" s="154"/>
      <c r="S719" s="73">
        <f t="shared" si="86"/>
        <v>125.828339</v>
      </c>
    </row>
    <row r="720" spans="1:19" ht="15">
      <c r="A720" s="161" t="s">
        <v>296</v>
      </c>
      <c r="B720" t="s">
        <v>430</v>
      </c>
      <c r="C720" t="s">
        <v>431</v>
      </c>
      <c r="D720" t="s">
        <v>420</v>
      </c>
      <c r="E720" t="s">
        <v>421</v>
      </c>
      <c r="F720" t="s">
        <v>301</v>
      </c>
      <c r="G720">
        <v>102001</v>
      </c>
      <c r="H720" t="s">
        <v>337</v>
      </c>
      <c r="I720">
        <v>221</v>
      </c>
      <c r="J720" t="s">
        <v>304</v>
      </c>
      <c r="K720" t="s">
        <v>452</v>
      </c>
      <c r="L720" t="s">
        <v>305</v>
      </c>
      <c r="M720">
        <v>2705.92</v>
      </c>
      <c r="P720">
        <v>0</v>
      </c>
      <c r="R720" s="154"/>
      <c r="S720" s="73">
        <f t="shared" si="86"/>
        <v>308.74547200000006</v>
      </c>
    </row>
    <row r="721" spans="1:19" ht="15">
      <c r="A721" s="161" t="s">
        <v>296</v>
      </c>
      <c r="B721" t="s">
        <v>430</v>
      </c>
      <c r="C721" t="s">
        <v>431</v>
      </c>
      <c r="D721" t="s">
        <v>420</v>
      </c>
      <c r="E721" t="s">
        <v>421</v>
      </c>
      <c r="F721" t="s">
        <v>301</v>
      </c>
      <c r="G721">
        <v>102001</v>
      </c>
      <c r="H721" t="s">
        <v>337</v>
      </c>
      <c r="I721">
        <v>221</v>
      </c>
      <c r="J721" t="s">
        <v>304</v>
      </c>
      <c r="K721" t="s">
        <v>453</v>
      </c>
      <c r="L721" t="s">
        <v>305</v>
      </c>
      <c r="M721">
        <v>1487.48</v>
      </c>
      <c r="P721">
        <v>0</v>
      </c>
      <c r="R721" s="154"/>
      <c r="S721" s="73">
        <f t="shared" si="86"/>
        <v>169.72146800000002</v>
      </c>
    </row>
    <row r="722" spans="1:19" ht="15">
      <c r="A722" s="161" t="s">
        <v>296</v>
      </c>
      <c r="B722" t="s">
        <v>430</v>
      </c>
      <c r="C722" t="s">
        <v>431</v>
      </c>
      <c r="D722" t="s">
        <v>420</v>
      </c>
      <c r="E722" t="s">
        <v>421</v>
      </c>
      <c r="F722" t="s">
        <v>301</v>
      </c>
      <c r="G722">
        <v>102001</v>
      </c>
      <c r="H722" t="s">
        <v>337</v>
      </c>
      <c r="I722">
        <v>221</v>
      </c>
      <c r="J722" t="s">
        <v>304</v>
      </c>
      <c r="K722" t="s">
        <v>417</v>
      </c>
      <c r="L722" t="s">
        <v>305</v>
      </c>
      <c r="M722">
        <v>1844.95</v>
      </c>
      <c r="P722">
        <v>0</v>
      </c>
      <c r="R722" s="154"/>
      <c r="S722" s="73">
        <f t="shared" si="86"/>
        <v>210.50879500000002</v>
      </c>
    </row>
    <row r="723" spans="1:19" ht="15">
      <c r="A723" s="161" t="s">
        <v>296</v>
      </c>
      <c r="B723" t="s">
        <v>430</v>
      </c>
      <c r="C723" t="s">
        <v>431</v>
      </c>
      <c r="D723" t="s">
        <v>420</v>
      </c>
      <c r="E723" t="s">
        <v>421</v>
      </c>
      <c r="F723" t="s">
        <v>301</v>
      </c>
      <c r="G723">
        <v>102001</v>
      </c>
      <c r="H723" t="s">
        <v>337</v>
      </c>
      <c r="I723">
        <v>221</v>
      </c>
      <c r="J723" t="s">
        <v>304</v>
      </c>
      <c r="K723" t="s">
        <v>454</v>
      </c>
      <c r="L723" t="s">
        <v>305</v>
      </c>
      <c r="M723">
        <v>2000.39</v>
      </c>
      <c r="P723">
        <v>0</v>
      </c>
      <c r="R723" s="154"/>
      <c r="S723" s="73">
        <f t="shared" si="86"/>
        <v>228.24449900000002</v>
      </c>
    </row>
    <row r="724" spans="1:19" ht="15">
      <c r="A724" s="161" t="s">
        <v>296</v>
      </c>
      <c r="B724" t="s">
        <v>430</v>
      </c>
      <c r="C724" t="s">
        <v>431</v>
      </c>
      <c r="D724" t="s">
        <v>420</v>
      </c>
      <c r="E724" t="s">
        <v>421</v>
      </c>
      <c r="F724" t="s">
        <v>301</v>
      </c>
      <c r="G724">
        <v>102001</v>
      </c>
      <c r="H724" t="s">
        <v>337</v>
      </c>
      <c r="I724">
        <v>221</v>
      </c>
      <c r="J724" t="s">
        <v>304</v>
      </c>
      <c r="K724" t="s">
        <v>455</v>
      </c>
      <c r="L724" t="s">
        <v>305</v>
      </c>
      <c r="M724">
        <v>897.62</v>
      </c>
      <c r="P724">
        <v>0</v>
      </c>
      <c r="R724" s="154"/>
      <c r="S724" s="73">
        <f t="shared" si="86"/>
        <v>102.418442</v>
      </c>
    </row>
    <row r="725" spans="1:19" ht="15">
      <c r="A725" s="161" t="s">
        <v>296</v>
      </c>
      <c r="B725" t="s">
        <v>430</v>
      </c>
      <c r="C725" t="s">
        <v>431</v>
      </c>
      <c r="D725" t="s">
        <v>420</v>
      </c>
      <c r="E725" t="s">
        <v>421</v>
      </c>
      <c r="F725" t="s">
        <v>301</v>
      </c>
      <c r="G725">
        <v>102001</v>
      </c>
      <c r="H725" t="s">
        <v>337</v>
      </c>
      <c r="I725">
        <v>221</v>
      </c>
      <c r="J725" t="s">
        <v>456</v>
      </c>
      <c r="K725" t="s">
        <v>457</v>
      </c>
      <c r="L725" t="s">
        <v>305</v>
      </c>
      <c r="M725">
        <v>428.66</v>
      </c>
      <c r="P725">
        <v>0</v>
      </c>
      <c r="R725" s="154"/>
      <c r="S725" s="73">
        <f t="shared" si="86"/>
        <v>48.910106000000006</v>
      </c>
    </row>
    <row r="726" spans="1:19" ht="15">
      <c r="A726" s="161" t="s">
        <v>296</v>
      </c>
      <c r="B726" t="s">
        <v>430</v>
      </c>
      <c r="C726" t="s">
        <v>431</v>
      </c>
      <c r="D726" t="s">
        <v>420</v>
      </c>
      <c r="E726" t="s">
        <v>421</v>
      </c>
      <c r="F726" t="s">
        <v>301</v>
      </c>
      <c r="G726">
        <v>104000</v>
      </c>
      <c r="H726" t="s">
        <v>345</v>
      </c>
      <c r="I726">
        <v>221</v>
      </c>
      <c r="J726" t="s">
        <v>304</v>
      </c>
      <c r="K726" t="s">
        <v>434</v>
      </c>
      <c r="L726" t="s">
        <v>305</v>
      </c>
      <c r="M726">
        <v>156.36000000000001</v>
      </c>
      <c r="P726">
        <v>0</v>
      </c>
      <c r="R726" s="154"/>
      <c r="S726" s="73">
        <f t="shared" si="86"/>
        <v>17.840676000000002</v>
      </c>
    </row>
    <row r="727" spans="1:19" ht="15">
      <c r="A727" s="161" t="s">
        <v>296</v>
      </c>
      <c r="B727" t="s">
        <v>430</v>
      </c>
      <c r="C727" t="s">
        <v>431</v>
      </c>
      <c r="D727" t="s">
        <v>420</v>
      </c>
      <c r="E727" t="s">
        <v>421</v>
      </c>
      <c r="F727" t="s">
        <v>301</v>
      </c>
      <c r="G727">
        <v>104000</v>
      </c>
      <c r="H727" t="s">
        <v>345</v>
      </c>
      <c r="I727">
        <v>221</v>
      </c>
      <c r="J727" t="s">
        <v>304</v>
      </c>
      <c r="K727" t="s">
        <v>435</v>
      </c>
      <c r="L727" t="s">
        <v>305</v>
      </c>
      <c r="M727">
        <v>185.21</v>
      </c>
      <c r="P727">
        <v>0</v>
      </c>
      <c r="R727" s="154"/>
      <c r="S727" s="73">
        <f t="shared" si="86"/>
        <v>21.132461000000003</v>
      </c>
    </row>
    <row r="728" spans="1:19" ht="15">
      <c r="A728" s="161" t="s">
        <v>296</v>
      </c>
      <c r="B728" t="s">
        <v>430</v>
      </c>
      <c r="C728" t="s">
        <v>431</v>
      </c>
      <c r="D728" t="s">
        <v>420</v>
      </c>
      <c r="E728" t="s">
        <v>421</v>
      </c>
      <c r="F728" t="s">
        <v>301</v>
      </c>
      <c r="G728">
        <v>104000</v>
      </c>
      <c r="H728" t="s">
        <v>345</v>
      </c>
      <c r="I728">
        <v>221</v>
      </c>
      <c r="J728" t="s">
        <v>304</v>
      </c>
      <c r="K728" t="s">
        <v>432</v>
      </c>
      <c r="L728" t="s">
        <v>305</v>
      </c>
      <c r="M728">
        <v>11.3</v>
      </c>
      <c r="P728">
        <v>0</v>
      </c>
      <c r="R728" s="154"/>
      <c r="S728" s="73">
        <f t="shared" si="86"/>
        <v>1.2893300000000001</v>
      </c>
    </row>
    <row r="729" spans="1:19" ht="15">
      <c r="A729" s="161" t="s">
        <v>296</v>
      </c>
      <c r="B729" t="s">
        <v>430</v>
      </c>
      <c r="C729" t="s">
        <v>431</v>
      </c>
      <c r="D729" t="s">
        <v>420</v>
      </c>
      <c r="E729" t="s">
        <v>421</v>
      </c>
      <c r="F729" t="s">
        <v>301</v>
      </c>
      <c r="G729">
        <v>104000</v>
      </c>
      <c r="H729" t="s">
        <v>345</v>
      </c>
      <c r="I729">
        <v>221</v>
      </c>
      <c r="J729" t="s">
        <v>304</v>
      </c>
      <c r="K729" t="s">
        <v>436</v>
      </c>
      <c r="L729" t="s">
        <v>305</v>
      </c>
      <c r="M729">
        <v>92.78</v>
      </c>
      <c r="P729">
        <v>0</v>
      </c>
      <c r="R729" s="154"/>
      <c r="S729" s="73">
        <f t="shared" si="86"/>
        <v>10.586198000000001</v>
      </c>
    </row>
    <row r="730" spans="1:19" ht="15">
      <c r="A730" s="161" t="s">
        <v>296</v>
      </c>
      <c r="B730" t="s">
        <v>430</v>
      </c>
      <c r="C730" t="s">
        <v>431</v>
      </c>
      <c r="D730" t="s">
        <v>420</v>
      </c>
      <c r="E730" t="s">
        <v>421</v>
      </c>
      <c r="F730" t="s">
        <v>301</v>
      </c>
      <c r="G730">
        <v>104000</v>
      </c>
      <c r="H730" t="s">
        <v>345</v>
      </c>
      <c r="I730">
        <v>221</v>
      </c>
      <c r="J730" t="s">
        <v>304</v>
      </c>
      <c r="K730" t="s">
        <v>437</v>
      </c>
      <c r="L730" t="s">
        <v>305</v>
      </c>
      <c r="M730">
        <v>945.36</v>
      </c>
      <c r="P730">
        <v>0</v>
      </c>
      <c r="R730" s="154"/>
      <c r="S730" s="73">
        <f t="shared" si="86"/>
        <v>107.865576</v>
      </c>
    </row>
    <row r="731" spans="1:19" ht="15">
      <c r="A731" s="161" t="s">
        <v>296</v>
      </c>
      <c r="B731" t="s">
        <v>430</v>
      </c>
      <c r="C731" t="s">
        <v>431</v>
      </c>
      <c r="D731" t="s">
        <v>420</v>
      </c>
      <c r="E731" t="s">
        <v>421</v>
      </c>
      <c r="F731" t="s">
        <v>301</v>
      </c>
      <c r="G731">
        <v>104000</v>
      </c>
      <c r="H731" t="s">
        <v>345</v>
      </c>
      <c r="I731">
        <v>221</v>
      </c>
      <c r="J731" t="s">
        <v>304</v>
      </c>
      <c r="K731" t="s">
        <v>402</v>
      </c>
      <c r="L731" t="s">
        <v>305</v>
      </c>
      <c r="M731">
        <v>1018.08</v>
      </c>
      <c r="P731">
        <v>0</v>
      </c>
      <c r="R731" s="154"/>
      <c r="S731" s="73">
        <f t="shared" si="86"/>
        <v>116.16292800000001</v>
      </c>
    </row>
    <row r="732" spans="1:19" ht="15">
      <c r="A732" s="161" t="s">
        <v>296</v>
      </c>
      <c r="B732" t="s">
        <v>430</v>
      </c>
      <c r="C732" t="s">
        <v>431</v>
      </c>
      <c r="D732" t="s">
        <v>420</v>
      </c>
      <c r="E732" t="s">
        <v>421</v>
      </c>
      <c r="F732" t="s">
        <v>301</v>
      </c>
      <c r="G732">
        <v>104000</v>
      </c>
      <c r="H732" t="s">
        <v>345</v>
      </c>
      <c r="I732">
        <v>221</v>
      </c>
      <c r="J732" t="s">
        <v>304</v>
      </c>
      <c r="K732" t="s">
        <v>438</v>
      </c>
      <c r="L732" t="s">
        <v>305</v>
      </c>
      <c r="M732">
        <v>799.91</v>
      </c>
      <c r="P732">
        <v>0</v>
      </c>
      <c r="R732" s="154"/>
      <c r="S732" s="73">
        <f t="shared" si="86"/>
        <v>91.269731000000007</v>
      </c>
    </row>
    <row r="733" spans="1:19" ht="15">
      <c r="A733" s="161" t="s">
        <v>296</v>
      </c>
      <c r="B733" t="s">
        <v>430</v>
      </c>
      <c r="C733" t="s">
        <v>431</v>
      </c>
      <c r="D733" t="s">
        <v>420</v>
      </c>
      <c r="E733" t="s">
        <v>421</v>
      </c>
      <c r="F733" t="s">
        <v>301</v>
      </c>
      <c r="G733">
        <v>104000</v>
      </c>
      <c r="H733" t="s">
        <v>345</v>
      </c>
      <c r="I733">
        <v>221</v>
      </c>
      <c r="J733" t="s">
        <v>304</v>
      </c>
      <c r="K733" t="s">
        <v>439</v>
      </c>
      <c r="L733" t="s">
        <v>305</v>
      </c>
      <c r="M733">
        <v>727.2</v>
      </c>
      <c r="P733">
        <v>0</v>
      </c>
      <c r="R733" s="154"/>
      <c r="S733" s="73">
        <f t="shared" si="86"/>
        <v>82.973520000000022</v>
      </c>
    </row>
    <row r="734" spans="1:19" ht="15">
      <c r="A734" s="161" t="s">
        <v>296</v>
      </c>
      <c r="B734" t="s">
        <v>430</v>
      </c>
      <c r="C734" t="s">
        <v>431</v>
      </c>
      <c r="D734" t="s">
        <v>420</v>
      </c>
      <c r="E734" t="s">
        <v>421</v>
      </c>
      <c r="F734" t="s">
        <v>301</v>
      </c>
      <c r="G734">
        <v>104000</v>
      </c>
      <c r="H734" t="s">
        <v>345</v>
      </c>
      <c r="I734">
        <v>221</v>
      </c>
      <c r="J734" t="s">
        <v>304</v>
      </c>
      <c r="K734" t="s">
        <v>440</v>
      </c>
      <c r="L734" t="s">
        <v>305</v>
      </c>
      <c r="M734">
        <v>654.48</v>
      </c>
      <c r="P734">
        <v>0</v>
      </c>
      <c r="R734" s="154"/>
      <c r="S734" s="73">
        <f t="shared" ref="S734:S797" si="87">M734*$S$7*1.141</f>
        <v>74.676168000000004</v>
      </c>
    </row>
    <row r="735" spans="1:19" ht="15">
      <c r="A735" s="161" t="s">
        <v>296</v>
      </c>
      <c r="B735" t="s">
        <v>430</v>
      </c>
      <c r="C735" t="s">
        <v>431</v>
      </c>
      <c r="D735" t="s">
        <v>420</v>
      </c>
      <c r="E735" t="s">
        <v>421</v>
      </c>
      <c r="F735" t="s">
        <v>301</v>
      </c>
      <c r="G735">
        <v>104000</v>
      </c>
      <c r="H735" t="s">
        <v>345</v>
      </c>
      <c r="I735">
        <v>221</v>
      </c>
      <c r="J735" t="s">
        <v>304</v>
      </c>
      <c r="K735" t="s">
        <v>441</v>
      </c>
      <c r="L735" t="s">
        <v>305</v>
      </c>
      <c r="M735">
        <v>1018.05</v>
      </c>
      <c r="P735">
        <v>0</v>
      </c>
      <c r="R735" s="154"/>
      <c r="S735" s="73">
        <f t="shared" si="87"/>
        <v>116.15950500000001</v>
      </c>
    </row>
    <row r="736" spans="1:19" ht="15">
      <c r="A736" s="161" t="s">
        <v>296</v>
      </c>
      <c r="B736" t="s">
        <v>430</v>
      </c>
      <c r="C736" t="s">
        <v>431</v>
      </c>
      <c r="D736" t="s">
        <v>420</v>
      </c>
      <c r="E736" t="s">
        <v>421</v>
      </c>
      <c r="F736" t="s">
        <v>301</v>
      </c>
      <c r="G736">
        <v>104000</v>
      </c>
      <c r="H736" t="s">
        <v>345</v>
      </c>
      <c r="I736">
        <v>221</v>
      </c>
      <c r="J736" t="s">
        <v>304</v>
      </c>
      <c r="K736" t="s">
        <v>442</v>
      </c>
      <c r="L736" t="s">
        <v>305</v>
      </c>
      <c r="M736">
        <v>97.69</v>
      </c>
      <c r="P736">
        <v>0</v>
      </c>
      <c r="R736" s="154"/>
      <c r="S736" s="73">
        <f t="shared" si="87"/>
        <v>11.146428999999999</v>
      </c>
    </row>
    <row r="737" spans="1:19" ht="15">
      <c r="A737" s="161" t="s">
        <v>296</v>
      </c>
      <c r="B737" t="s">
        <v>430</v>
      </c>
      <c r="C737" t="s">
        <v>431</v>
      </c>
      <c r="D737" t="s">
        <v>420</v>
      </c>
      <c r="E737" t="s">
        <v>421</v>
      </c>
      <c r="F737" t="s">
        <v>301</v>
      </c>
      <c r="G737">
        <v>104000</v>
      </c>
      <c r="H737" t="s">
        <v>345</v>
      </c>
      <c r="I737">
        <v>221</v>
      </c>
      <c r="J737" t="s">
        <v>304</v>
      </c>
      <c r="K737" t="s">
        <v>443</v>
      </c>
      <c r="L737" t="s">
        <v>305</v>
      </c>
      <c r="M737">
        <v>945.36</v>
      </c>
      <c r="P737">
        <v>0</v>
      </c>
      <c r="R737" s="154"/>
      <c r="S737" s="73">
        <f t="shared" si="87"/>
        <v>107.865576</v>
      </c>
    </row>
    <row r="738" spans="1:19" ht="15">
      <c r="A738" s="161" t="s">
        <v>296</v>
      </c>
      <c r="B738" t="s">
        <v>430</v>
      </c>
      <c r="C738" t="s">
        <v>431</v>
      </c>
      <c r="D738" t="s">
        <v>420</v>
      </c>
      <c r="E738" t="s">
        <v>421</v>
      </c>
      <c r="F738" t="s">
        <v>301</v>
      </c>
      <c r="G738">
        <v>104000</v>
      </c>
      <c r="H738" t="s">
        <v>345</v>
      </c>
      <c r="I738">
        <v>221</v>
      </c>
      <c r="J738" t="s">
        <v>304</v>
      </c>
      <c r="K738" t="s">
        <v>444</v>
      </c>
      <c r="L738" t="s">
        <v>305</v>
      </c>
      <c r="M738">
        <v>727.2</v>
      </c>
      <c r="P738">
        <v>0</v>
      </c>
      <c r="R738" s="154"/>
      <c r="S738" s="73">
        <f t="shared" si="87"/>
        <v>82.973520000000022</v>
      </c>
    </row>
    <row r="739" spans="1:19" ht="15">
      <c r="A739" s="161" t="s">
        <v>296</v>
      </c>
      <c r="B739" t="s">
        <v>430</v>
      </c>
      <c r="C739" t="s">
        <v>431</v>
      </c>
      <c r="D739" t="s">
        <v>420</v>
      </c>
      <c r="E739" t="s">
        <v>421</v>
      </c>
      <c r="F739" t="s">
        <v>301</v>
      </c>
      <c r="G739">
        <v>104000</v>
      </c>
      <c r="H739" t="s">
        <v>345</v>
      </c>
      <c r="I739">
        <v>221</v>
      </c>
      <c r="J739" t="s">
        <v>304</v>
      </c>
      <c r="K739" t="s">
        <v>403</v>
      </c>
      <c r="L739" t="s">
        <v>305</v>
      </c>
      <c r="M739">
        <v>727.2</v>
      </c>
      <c r="P739">
        <v>0</v>
      </c>
      <c r="R739" s="154"/>
      <c r="S739" s="73">
        <f t="shared" si="87"/>
        <v>82.973520000000022</v>
      </c>
    </row>
    <row r="740" spans="1:19" ht="15">
      <c r="A740" s="161" t="s">
        <v>296</v>
      </c>
      <c r="B740" t="s">
        <v>430</v>
      </c>
      <c r="C740" t="s">
        <v>431</v>
      </c>
      <c r="D740" t="s">
        <v>420</v>
      </c>
      <c r="E740" t="s">
        <v>421</v>
      </c>
      <c r="F740" t="s">
        <v>301</v>
      </c>
      <c r="G740">
        <v>104000</v>
      </c>
      <c r="H740" t="s">
        <v>345</v>
      </c>
      <c r="I740">
        <v>221</v>
      </c>
      <c r="J740" t="s">
        <v>304</v>
      </c>
      <c r="K740" t="s">
        <v>404</v>
      </c>
      <c r="L740" t="s">
        <v>305</v>
      </c>
      <c r="M740">
        <v>872.64</v>
      </c>
      <c r="P740">
        <v>0</v>
      </c>
      <c r="R740" s="154"/>
      <c r="S740" s="73">
        <f t="shared" si="87"/>
        <v>99.568224000000015</v>
      </c>
    </row>
    <row r="741" spans="1:19" ht="15">
      <c r="A741" s="161" t="s">
        <v>296</v>
      </c>
      <c r="B741" t="s">
        <v>430</v>
      </c>
      <c r="C741" t="s">
        <v>431</v>
      </c>
      <c r="D741" t="s">
        <v>420</v>
      </c>
      <c r="E741" t="s">
        <v>421</v>
      </c>
      <c r="F741" t="s">
        <v>301</v>
      </c>
      <c r="G741">
        <v>104000</v>
      </c>
      <c r="H741" t="s">
        <v>345</v>
      </c>
      <c r="I741">
        <v>221</v>
      </c>
      <c r="J741" t="s">
        <v>304</v>
      </c>
      <c r="K741" t="s">
        <v>445</v>
      </c>
      <c r="L741" t="s">
        <v>305</v>
      </c>
      <c r="M741">
        <v>1527.12</v>
      </c>
      <c r="P741">
        <v>0</v>
      </c>
      <c r="R741" s="154"/>
      <c r="S741" s="73">
        <f t="shared" si="87"/>
        <v>174.24439199999998</v>
      </c>
    </row>
    <row r="742" spans="1:19" ht="15">
      <c r="A742" s="161" t="s">
        <v>296</v>
      </c>
      <c r="B742" t="s">
        <v>430</v>
      </c>
      <c r="C742" t="s">
        <v>431</v>
      </c>
      <c r="D742" t="s">
        <v>420</v>
      </c>
      <c r="E742" t="s">
        <v>421</v>
      </c>
      <c r="F742" t="s">
        <v>301</v>
      </c>
      <c r="G742">
        <v>104000</v>
      </c>
      <c r="H742" t="s">
        <v>345</v>
      </c>
      <c r="I742">
        <v>221</v>
      </c>
      <c r="J742" t="s">
        <v>304</v>
      </c>
      <c r="K742" t="s">
        <v>446</v>
      </c>
      <c r="L742" t="s">
        <v>305</v>
      </c>
      <c r="M742">
        <v>753.32</v>
      </c>
      <c r="P742">
        <v>0</v>
      </c>
      <c r="R742" s="154"/>
      <c r="S742" s="73">
        <f t="shared" si="87"/>
        <v>85.953812000000013</v>
      </c>
    </row>
    <row r="743" spans="1:19" ht="15">
      <c r="A743" s="161" t="s">
        <v>296</v>
      </c>
      <c r="B743" t="s">
        <v>430</v>
      </c>
      <c r="C743" t="s">
        <v>431</v>
      </c>
      <c r="D743" t="s">
        <v>420</v>
      </c>
      <c r="E743" t="s">
        <v>421</v>
      </c>
      <c r="F743" t="s">
        <v>301</v>
      </c>
      <c r="G743">
        <v>104000</v>
      </c>
      <c r="H743" t="s">
        <v>345</v>
      </c>
      <c r="I743">
        <v>221</v>
      </c>
      <c r="J743" t="s">
        <v>304</v>
      </c>
      <c r="K743" t="s">
        <v>447</v>
      </c>
      <c r="L743" t="s">
        <v>305</v>
      </c>
      <c r="M743">
        <v>1308.96</v>
      </c>
      <c r="P743">
        <v>0</v>
      </c>
      <c r="R743" s="154"/>
      <c r="S743" s="73">
        <f t="shared" si="87"/>
        <v>149.35233600000001</v>
      </c>
    </row>
    <row r="744" spans="1:19" ht="15">
      <c r="A744" s="161" t="s">
        <v>296</v>
      </c>
      <c r="B744" t="s">
        <v>430</v>
      </c>
      <c r="C744" t="s">
        <v>431</v>
      </c>
      <c r="D744" t="s">
        <v>420</v>
      </c>
      <c r="E744" t="s">
        <v>421</v>
      </c>
      <c r="F744" t="s">
        <v>301</v>
      </c>
      <c r="G744">
        <v>104000</v>
      </c>
      <c r="H744" t="s">
        <v>345</v>
      </c>
      <c r="I744">
        <v>221</v>
      </c>
      <c r="J744" t="s">
        <v>304</v>
      </c>
      <c r="K744" t="s">
        <v>448</v>
      </c>
      <c r="L744" t="s">
        <v>305</v>
      </c>
      <c r="M744">
        <v>509.04</v>
      </c>
      <c r="P744">
        <v>0</v>
      </c>
      <c r="R744" s="154"/>
      <c r="S744" s="73">
        <f t="shared" si="87"/>
        <v>58.081464000000004</v>
      </c>
    </row>
    <row r="745" spans="1:19" ht="15">
      <c r="A745" s="161" t="s">
        <v>296</v>
      </c>
      <c r="B745" t="s">
        <v>430</v>
      </c>
      <c r="C745" t="s">
        <v>431</v>
      </c>
      <c r="D745" t="s">
        <v>420</v>
      </c>
      <c r="E745" t="s">
        <v>421</v>
      </c>
      <c r="F745" t="s">
        <v>301</v>
      </c>
      <c r="G745">
        <v>104000</v>
      </c>
      <c r="H745" t="s">
        <v>345</v>
      </c>
      <c r="I745">
        <v>221</v>
      </c>
      <c r="J745" t="s">
        <v>304</v>
      </c>
      <c r="K745" t="s">
        <v>449</v>
      </c>
      <c r="L745" t="s">
        <v>305</v>
      </c>
      <c r="M745">
        <v>581.76</v>
      </c>
      <c r="P745">
        <v>0</v>
      </c>
      <c r="R745" s="154"/>
      <c r="S745" s="73">
        <f t="shared" si="87"/>
        <v>66.378816</v>
      </c>
    </row>
    <row r="746" spans="1:19" ht="15">
      <c r="A746" s="161" t="s">
        <v>296</v>
      </c>
      <c r="B746" t="s">
        <v>430</v>
      </c>
      <c r="C746" t="s">
        <v>431</v>
      </c>
      <c r="D746" t="s">
        <v>420</v>
      </c>
      <c r="E746" t="s">
        <v>421</v>
      </c>
      <c r="F746" t="s">
        <v>301</v>
      </c>
      <c r="G746">
        <v>104000</v>
      </c>
      <c r="H746" t="s">
        <v>345</v>
      </c>
      <c r="I746">
        <v>221</v>
      </c>
      <c r="J746" t="s">
        <v>304</v>
      </c>
      <c r="K746" t="s">
        <v>450</v>
      </c>
      <c r="L746" t="s">
        <v>305</v>
      </c>
      <c r="M746">
        <v>770.83</v>
      </c>
      <c r="P746">
        <v>0</v>
      </c>
      <c r="R746" s="154"/>
      <c r="S746" s="73">
        <f t="shared" si="87"/>
        <v>87.951703000000009</v>
      </c>
    </row>
    <row r="747" spans="1:19" ht="15">
      <c r="A747" s="161" t="s">
        <v>296</v>
      </c>
      <c r="B747" t="s">
        <v>430</v>
      </c>
      <c r="C747" t="s">
        <v>431</v>
      </c>
      <c r="D747" t="s">
        <v>420</v>
      </c>
      <c r="E747" t="s">
        <v>421</v>
      </c>
      <c r="F747" t="s">
        <v>301</v>
      </c>
      <c r="G747">
        <v>104000</v>
      </c>
      <c r="H747" t="s">
        <v>345</v>
      </c>
      <c r="I747">
        <v>221</v>
      </c>
      <c r="J747" t="s">
        <v>304</v>
      </c>
      <c r="K747" t="s">
        <v>451</v>
      </c>
      <c r="L747" t="s">
        <v>305</v>
      </c>
      <c r="M747">
        <v>625.39</v>
      </c>
      <c r="P747">
        <v>0</v>
      </c>
      <c r="R747" s="154"/>
      <c r="S747" s="73">
        <f t="shared" si="87"/>
        <v>71.356999000000002</v>
      </c>
    </row>
    <row r="748" spans="1:19" ht="15">
      <c r="A748" s="161" t="s">
        <v>296</v>
      </c>
      <c r="B748" t="s">
        <v>430</v>
      </c>
      <c r="C748" t="s">
        <v>431</v>
      </c>
      <c r="D748" t="s">
        <v>420</v>
      </c>
      <c r="E748" t="s">
        <v>421</v>
      </c>
      <c r="F748" t="s">
        <v>301</v>
      </c>
      <c r="G748">
        <v>104000</v>
      </c>
      <c r="H748" t="s">
        <v>345</v>
      </c>
      <c r="I748">
        <v>221</v>
      </c>
      <c r="J748" t="s">
        <v>304</v>
      </c>
      <c r="K748" t="s">
        <v>452</v>
      </c>
      <c r="L748" t="s">
        <v>305</v>
      </c>
      <c r="M748">
        <v>1534.54</v>
      </c>
      <c r="P748">
        <v>0</v>
      </c>
      <c r="R748" s="154"/>
      <c r="S748" s="73">
        <f t="shared" si="87"/>
        <v>175.091014</v>
      </c>
    </row>
    <row r="749" spans="1:19" ht="15">
      <c r="A749" s="161" t="s">
        <v>296</v>
      </c>
      <c r="B749" t="s">
        <v>430</v>
      </c>
      <c r="C749" t="s">
        <v>431</v>
      </c>
      <c r="D749" t="s">
        <v>420</v>
      </c>
      <c r="E749" t="s">
        <v>421</v>
      </c>
      <c r="F749" t="s">
        <v>301</v>
      </c>
      <c r="G749">
        <v>104000</v>
      </c>
      <c r="H749" t="s">
        <v>345</v>
      </c>
      <c r="I749">
        <v>221</v>
      </c>
      <c r="J749" t="s">
        <v>304</v>
      </c>
      <c r="K749" t="s">
        <v>453</v>
      </c>
      <c r="L749" t="s">
        <v>305</v>
      </c>
      <c r="M749">
        <v>843.55</v>
      </c>
      <c r="P749">
        <v>0</v>
      </c>
      <c r="R749" s="154"/>
      <c r="S749" s="73">
        <f t="shared" si="87"/>
        <v>96.249055000000013</v>
      </c>
    </row>
    <row r="750" spans="1:19" ht="15">
      <c r="A750" s="161" t="s">
        <v>296</v>
      </c>
      <c r="B750" t="s">
        <v>430</v>
      </c>
      <c r="C750" t="s">
        <v>431</v>
      </c>
      <c r="D750" t="s">
        <v>420</v>
      </c>
      <c r="E750" t="s">
        <v>421</v>
      </c>
      <c r="F750" t="s">
        <v>301</v>
      </c>
      <c r="G750">
        <v>104000</v>
      </c>
      <c r="H750" t="s">
        <v>345</v>
      </c>
      <c r="I750">
        <v>221</v>
      </c>
      <c r="J750" t="s">
        <v>304</v>
      </c>
      <c r="K750" t="s">
        <v>417</v>
      </c>
      <c r="L750" t="s">
        <v>305</v>
      </c>
      <c r="M750">
        <v>1046.28</v>
      </c>
      <c r="P750">
        <v>0</v>
      </c>
      <c r="R750" s="154"/>
      <c r="S750" s="73">
        <f t="shared" si="87"/>
        <v>119.380548</v>
      </c>
    </row>
    <row r="751" spans="1:19" ht="15">
      <c r="A751" s="161" t="s">
        <v>296</v>
      </c>
      <c r="B751" t="s">
        <v>430</v>
      </c>
      <c r="C751" t="s">
        <v>431</v>
      </c>
      <c r="D751" t="s">
        <v>420</v>
      </c>
      <c r="E751" t="s">
        <v>421</v>
      </c>
      <c r="F751" t="s">
        <v>301</v>
      </c>
      <c r="G751">
        <v>104000</v>
      </c>
      <c r="H751" t="s">
        <v>345</v>
      </c>
      <c r="I751">
        <v>221</v>
      </c>
      <c r="J751" t="s">
        <v>304</v>
      </c>
      <c r="K751" t="s">
        <v>454</v>
      </c>
      <c r="L751" t="s">
        <v>305</v>
      </c>
      <c r="M751">
        <v>1134.43</v>
      </c>
      <c r="P751">
        <v>0</v>
      </c>
      <c r="R751" s="154"/>
      <c r="S751" s="73">
        <f t="shared" si="87"/>
        <v>129.43846300000001</v>
      </c>
    </row>
    <row r="752" spans="1:19" ht="15">
      <c r="A752" s="161" t="s">
        <v>296</v>
      </c>
      <c r="B752" t="s">
        <v>430</v>
      </c>
      <c r="C752" t="s">
        <v>431</v>
      </c>
      <c r="D752" t="s">
        <v>420</v>
      </c>
      <c r="E752" t="s">
        <v>421</v>
      </c>
      <c r="F752" t="s">
        <v>301</v>
      </c>
      <c r="G752">
        <v>104000</v>
      </c>
      <c r="H752" t="s">
        <v>345</v>
      </c>
      <c r="I752">
        <v>221</v>
      </c>
      <c r="J752" t="s">
        <v>304</v>
      </c>
      <c r="K752" t="s">
        <v>455</v>
      </c>
      <c r="L752" t="s">
        <v>305</v>
      </c>
      <c r="M752">
        <v>509.04</v>
      </c>
      <c r="P752">
        <v>0</v>
      </c>
      <c r="R752" s="154"/>
      <c r="S752" s="73">
        <f t="shared" si="87"/>
        <v>58.081464000000004</v>
      </c>
    </row>
    <row r="753" spans="1:19" ht="15">
      <c r="A753" s="161" t="s">
        <v>296</v>
      </c>
      <c r="B753" t="s">
        <v>430</v>
      </c>
      <c r="C753" t="s">
        <v>431</v>
      </c>
      <c r="D753" t="s">
        <v>420</v>
      </c>
      <c r="E753" t="s">
        <v>421</v>
      </c>
      <c r="F753" t="s">
        <v>301</v>
      </c>
      <c r="G753">
        <v>104000</v>
      </c>
      <c r="H753" t="s">
        <v>345</v>
      </c>
      <c r="I753">
        <v>221</v>
      </c>
      <c r="J753" t="s">
        <v>456</v>
      </c>
      <c r="K753" t="s">
        <v>457</v>
      </c>
      <c r="L753" t="s">
        <v>305</v>
      </c>
      <c r="M753">
        <v>243.09</v>
      </c>
      <c r="P753">
        <v>0</v>
      </c>
      <c r="R753" s="154"/>
      <c r="S753" s="73">
        <f t="shared" si="87"/>
        <v>27.736569000000003</v>
      </c>
    </row>
    <row r="754" spans="1:19" ht="15">
      <c r="A754" s="161" t="s">
        <v>296</v>
      </c>
      <c r="B754" t="s">
        <v>430</v>
      </c>
      <c r="C754" t="s">
        <v>431</v>
      </c>
      <c r="D754" t="s">
        <v>420</v>
      </c>
      <c r="E754" t="s">
        <v>421</v>
      </c>
      <c r="F754" t="s">
        <v>301</v>
      </c>
      <c r="G754">
        <v>105019</v>
      </c>
      <c r="H754" t="s">
        <v>348</v>
      </c>
      <c r="I754">
        <v>221</v>
      </c>
      <c r="J754" t="s">
        <v>304</v>
      </c>
      <c r="K754" t="s">
        <v>434</v>
      </c>
      <c r="L754" t="s">
        <v>305</v>
      </c>
      <c r="M754">
        <v>53.71</v>
      </c>
      <c r="P754">
        <v>0</v>
      </c>
      <c r="R754" s="154"/>
      <c r="S754" s="73">
        <f t="shared" si="87"/>
        <v>6.128311000000001</v>
      </c>
    </row>
    <row r="755" spans="1:19" ht="15">
      <c r="A755" s="161" t="s">
        <v>296</v>
      </c>
      <c r="B755" t="s">
        <v>430</v>
      </c>
      <c r="C755" t="s">
        <v>431</v>
      </c>
      <c r="D755" t="s">
        <v>420</v>
      </c>
      <c r="E755" t="s">
        <v>421</v>
      </c>
      <c r="F755" t="s">
        <v>301</v>
      </c>
      <c r="G755">
        <v>105019</v>
      </c>
      <c r="H755" t="s">
        <v>348</v>
      </c>
      <c r="I755">
        <v>221</v>
      </c>
      <c r="J755" t="s">
        <v>304</v>
      </c>
      <c r="K755" t="s">
        <v>435</v>
      </c>
      <c r="L755" t="s">
        <v>305</v>
      </c>
      <c r="M755">
        <v>63.62</v>
      </c>
      <c r="P755">
        <v>0</v>
      </c>
      <c r="R755" s="154"/>
      <c r="S755" s="73">
        <f t="shared" si="87"/>
        <v>7.259042</v>
      </c>
    </row>
    <row r="756" spans="1:19" ht="15">
      <c r="A756" s="161" t="s">
        <v>296</v>
      </c>
      <c r="B756" t="s">
        <v>430</v>
      </c>
      <c r="C756" t="s">
        <v>431</v>
      </c>
      <c r="D756" t="s">
        <v>420</v>
      </c>
      <c r="E756" t="s">
        <v>421</v>
      </c>
      <c r="F756" t="s">
        <v>301</v>
      </c>
      <c r="G756">
        <v>105019</v>
      </c>
      <c r="H756" t="s">
        <v>348</v>
      </c>
      <c r="I756">
        <v>221</v>
      </c>
      <c r="J756" t="s">
        <v>304</v>
      </c>
      <c r="K756" t="s">
        <v>436</v>
      </c>
      <c r="L756" t="s">
        <v>305</v>
      </c>
      <c r="M756">
        <v>31.85</v>
      </c>
      <c r="P756">
        <v>0</v>
      </c>
      <c r="R756" s="154"/>
      <c r="S756" s="73">
        <f t="shared" si="87"/>
        <v>3.6340850000000007</v>
      </c>
    </row>
    <row r="757" spans="1:19" ht="15">
      <c r="A757" s="161" t="s">
        <v>296</v>
      </c>
      <c r="B757" t="s">
        <v>430</v>
      </c>
      <c r="C757" t="s">
        <v>431</v>
      </c>
      <c r="D757" t="s">
        <v>420</v>
      </c>
      <c r="E757" t="s">
        <v>421</v>
      </c>
      <c r="F757" t="s">
        <v>301</v>
      </c>
      <c r="G757">
        <v>105019</v>
      </c>
      <c r="H757" t="s">
        <v>348</v>
      </c>
      <c r="I757">
        <v>221</v>
      </c>
      <c r="J757" t="s">
        <v>304</v>
      </c>
      <c r="K757" t="s">
        <v>437</v>
      </c>
      <c r="L757" t="s">
        <v>305</v>
      </c>
      <c r="M757">
        <v>324.73</v>
      </c>
      <c r="P757">
        <v>0</v>
      </c>
      <c r="R757" s="154"/>
      <c r="S757" s="73">
        <f t="shared" si="87"/>
        <v>37.051693000000007</v>
      </c>
    </row>
    <row r="758" spans="1:19" ht="15">
      <c r="A758" s="161" t="s">
        <v>296</v>
      </c>
      <c r="B758" t="s">
        <v>430</v>
      </c>
      <c r="C758" t="s">
        <v>431</v>
      </c>
      <c r="D758" t="s">
        <v>420</v>
      </c>
      <c r="E758" t="s">
        <v>421</v>
      </c>
      <c r="F758" t="s">
        <v>301</v>
      </c>
      <c r="G758">
        <v>105019</v>
      </c>
      <c r="H758" t="s">
        <v>348</v>
      </c>
      <c r="I758">
        <v>221</v>
      </c>
      <c r="J758" t="s">
        <v>304</v>
      </c>
      <c r="K758" t="s">
        <v>402</v>
      </c>
      <c r="L758" t="s">
        <v>305</v>
      </c>
      <c r="M758">
        <v>349.71</v>
      </c>
      <c r="P758">
        <v>0</v>
      </c>
      <c r="R758" s="154"/>
      <c r="S758" s="73">
        <f t="shared" si="87"/>
        <v>39.901910999999998</v>
      </c>
    </row>
    <row r="759" spans="1:19" ht="15">
      <c r="A759" s="161" t="s">
        <v>296</v>
      </c>
      <c r="B759" t="s">
        <v>430</v>
      </c>
      <c r="C759" t="s">
        <v>431</v>
      </c>
      <c r="D759" t="s">
        <v>420</v>
      </c>
      <c r="E759" t="s">
        <v>421</v>
      </c>
      <c r="F759" t="s">
        <v>301</v>
      </c>
      <c r="G759">
        <v>105019</v>
      </c>
      <c r="H759" t="s">
        <v>348</v>
      </c>
      <c r="I759">
        <v>221</v>
      </c>
      <c r="J759" t="s">
        <v>304</v>
      </c>
      <c r="K759" t="s">
        <v>438</v>
      </c>
      <c r="L759" t="s">
        <v>305</v>
      </c>
      <c r="M759">
        <v>274.77</v>
      </c>
      <c r="P759">
        <v>0</v>
      </c>
      <c r="R759" s="154"/>
      <c r="S759" s="73">
        <f t="shared" si="87"/>
        <v>31.351257</v>
      </c>
    </row>
    <row r="760" spans="1:19" ht="15">
      <c r="A760" s="161" t="s">
        <v>296</v>
      </c>
      <c r="B760" t="s">
        <v>430</v>
      </c>
      <c r="C760" t="s">
        <v>431</v>
      </c>
      <c r="D760" t="s">
        <v>420</v>
      </c>
      <c r="E760" t="s">
        <v>421</v>
      </c>
      <c r="F760" t="s">
        <v>301</v>
      </c>
      <c r="G760">
        <v>105019</v>
      </c>
      <c r="H760" t="s">
        <v>348</v>
      </c>
      <c r="I760">
        <v>221</v>
      </c>
      <c r="J760" t="s">
        <v>304</v>
      </c>
      <c r="K760" t="s">
        <v>439</v>
      </c>
      <c r="L760" t="s">
        <v>305</v>
      </c>
      <c r="M760">
        <v>249.8</v>
      </c>
      <c r="P760">
        <v>0</v>
      </c>
      <c r="R760" s="154"/>
      <c r="S760" s="73">
        <f t="shared" si="87"/>
        <v>28.502180000000006</v>
      </c>
    </row>
    <row r="761" spans="1:19" ht="15">
      <c r="A761" s="161" t="s">
        <v>296</v>
      </c>
      <c r="B761" t="s">
        <v>430</v>
      </c>
      <c r="C761" t="s">
        <v>431</v>
      </c>
      <c r="D761" t="s">
        <v>420</v>
      </c>
      <c r="E761" t="s">
        <v>421</v>
      </c>
      <c r="F761" t="s">
        <v>301</v>
      </c>
      <c r="G761">
        <v>105019</v>
      </c>
      <c r="H761" t="s">
        <v>348</v>
      </c>
      <c r="I761">
        <v>221</v>
      </c>
      <c r="J761" t="s">
        <v>304</v>
      </c>
      <c r="K761" t="s">
        <v>440</v>
      </c>
      <c r="L761" t="s">
        <v>305</v>
      </c>
      <c r="M761">
        <v>224.81</v>
      </c>
      <c r="P761">
        <v>0</v>
      </c>
      <c r="R761" s="154"/>
      <c r="S761" s="73">
        <f t="shared" si="87"/>
        <v>25.650821000000001</v>
      </c>
    </row>
    <row r="762" spans="1:19" ht="15">
      <c r="A762" s="161" t="s">
        <v>296</v>
      </c>
      <c r="B762" t="s">
        <v>430</v>
      </c>
      <c r="C762" t="s">
        <v>431</v>
      </c>
      <c r="D762" t="s">
        <v>420</v>
      </c>
      <c r="E762" t="s">
        <v>421</v>
      </c>
      <c r="F762" t="s">
        <v>301</v>
      </c>
      <c r="G762">
        <v>105019</v>
      </c>
      <c r="H762" t="s">
        <v>348</v>
      </c>
      <c r="I762">
        <v>221</v>
      </c>
      <c r="J762" t="s">
        <v>304</v>
      </c>
      <c r="K762" t="s">
        <v>441</v>
      </c>
      <c r="L762" t="s">
        <v>305</v>
      </c>
      <c r="M762">
        <v>349.8</v>
      </c>
      <c r="P762">
        <v>0</v>
      </c>
      <c r="R762" s="154"/>
      <c r="S762" s="73">
        <f t="shared" si="87"/>
        <v>39.912180000000006</v>
      </c>
    </row>
    <row r="763" spans="1:19" ht="15">
      <c r="A763" s="161" t="s">
        <v>296</v>
      </c>
      <c r="B763" t="s">
        <v>430</v>
      </c>
      <c r="C763" t="s">
        <v>431</v>
      </c>
      <c r="D763" t="s">
        <v>420</v>
      </c>
      <c r="E763" t="s">
        <v>421</v>
      </c>
      <c r="F763" t="s">
        <v>301</v>
      </c>
      <c r="G763">
        <v>105019</v>
      </c>
      <c r="H763" t="s">
        <v>348</v>
      </c>
      <c r="I763">
        <v>221</v>
      </c>
      <c r="J763" t="s">
        <v>304</v>
      </c>
      <c r="K763" t="s">
        <v>442</v>
      </c>
      <c r="L763" t="s">
        <v>305</v>
      </c>
      <c r="M763">
        <v>34.130000000000003</v>
      </c>
      <c r="P763">
        <v>0</v>
      </c>
      <c r="R763" s="154"/>
      <c r="S763" s="73">
        <f t="shared" si="87"/>
        <v>3.8942330000000003</v>
      </c>
    </row>
    <row r="764" spans="1:19" ht="15">
      <c r="A764" s="161" t="s">
        <v>296</v>
      </c>
      <c r="B764" t="s">
        <v>430</v>
      </c>
      <c r="C764" t="s">
        <v>431</v>
      </c>
      <c r="D764" t="s">
        <v>420</v>
      </c>
      <c r="E764" t="s">
        <v>421</v>
      </c>
      <c r="F764" t="s">
        <v>301</v>
      </c>
      <c r="G764">
        <v>105019</v>
      </c>
      <c r="H764" t="s">
        <v>348</v>
      </c>
      <c r="I764">
        <v>221</v>
      </c>
      <c r="J764" t="s">
        <v>304</v>
      </c>
      <c r="K764" t="s">
        <v>443</v>
      </c>
      <c r="L764" t="s">
        <v>305</v>
      </c>
      <c r="M764">
        <v>324.73</v>
      </c>
      <c r="P764">
        <v>0</v>
      </c>
      <c r="R764" s="154"/>
      <c r="S764" s="73">
        <f t="shared" si="87"/>
        <v>37.051693000000007</v>
      </c>
    </row>
    <row r="765" spans="1:19" ht="15">
      <c r="A765" s="161" t="s">
        <v>296</v>
      </c>
      <c r="B765" t="s">
        <v>430</v>
      </c>
      <c r="C765" t="s">
        <v>431</v>
      </c>
      <c r="D765" t="s">
        <v>420</v>
      </c>
      <c r="E765" t="s">
        <v>421</v>
      </c>
      <c r="F765" t="s">
        <v>301</v>
      </c>
      <c r="G765">
        <v>105019</v>
      </c>
      <c r="H765" t="s">
        <v>348</v>
      </c>
      <c r="I765">
        <v>221</v>
      </c>
      <c r="J765" t="s">
        <v>304</v>
      </c>
      <c r="K765" t="s">
        <v>444</v>
      </c>
      <c r="L765" t="s">
        <v>305</v>
      </c>
      <c r="M765">
        <v>249.8</v>
      </c>
      <c r="P765">
        <v>0</v>
      </c>
      <c r="R765" s="154"/>
      <c r="S765" s="73">
        <f t="shared" si="87"/>
        <v>28.502180000000006</v>
      </c>
    </row>
    <row r="766" spans="1:19" ht="15">
      <c r="A766" s="161" t="s">
        <v>296</v>
      </c>
      <c r="B766" t="s">
        <v>430</v>
      </c>
      <c r="C766" t="s">
        <v>431</v>
      </c>
      <c r="D766" t="s">
        <v>420</v>
      </c>
      <c r="E766" t="s">
        <v>421</v>
      </c>
      <c r="F766" t="s">
        <v>301</v>
      </c>
      <c r="G766">
        <v>105019</v>
      </c>
      <c r="H766" t="s">
        <v>348</v>
      </c>
      <c r="I766">
        <v>221</v>
      </c>
      <c r="J766" t="s">
        <v>304</v>
      </c>
      <c r="K766" t="s">
        <v>403</v>
      </c>
      <c r="L766" t="s">
        <v>305</v>
      </c>
      <c r="M766">
        <v>249.8</v>
      </c>
      <c r="P766">
        <v>0</v>
      </c>
      <c r="R766" s="154"/>
      <c r="S766" s="73">
        <f t="shared" si="87"/>
        <v>28.502180000000006</v>
      </c>
    </row>
    <row r="767" spans="1:19" ht="15">
      <c r="A767" s="161" t="s">
        <v>296</v>
      </c>
      <c r="B767" t="s">
        <v>430</v>
      </c>
      <c r="C767" t="s">
        <v>431</v>
      </c>
      <c r="D767" t="s">
        <v>420</v>
      </c>
      <c r="E767" t="s">
        <v>421</v>
      </c>
      <c r="F767" t="s">
        <v>301</v>
      </c>
      <c r="G767">
        <v>105019</v>
      </c>
      <c r="H767" t="s">
        <v>348</v>
      </c>
      <c r="I767">
        <v>221</v>
      </c>
      <c r="J767" t="s">
        <v>304</v>
      </c>
      <c r="K767" t="s">
        <v>404</v>
      </c>
      <c r="L767" t="s">
        <v>305</v>
      </c>
      <c r="M767">
        <v>299.75</v>
      </c>
      <c r="P767">
        <v>0</v>
      </c>
      <c r="R767" s="154"/>
      <c r="S767" s="73">
        <f t="shared" si="87"/>
        <v>34.201475000000002</v>
      </c>
    </row>
    <row r="768" spans="1:19" ht="15">
      <c r="A768" s="161" t="s">
        <v>296</v>
      </c>
      <c r="B768" t="s">
        <v>430</v>
      </c>
      <c r="C768" t="s">
        <v>431</v>
      </c>
      <c r="D768" t="s">
        <v>420</v>
      </c>
      <c r="E768" t="s">
        <v>421</v>
      </c>
      <c r="F768" t="s">
        <v>301</v>
      </c>
      <c r="G768">
        <v>105019</v>
      </c>
      <c r="H768" t="s">
        <v>348</v>
      </c>
      <c r="I768">
        <v>221</v>
      </c>
      <c r="J768" t="s">
        <v>304</v>
      </c>
      <c r="K768" t="s">
        <v>445</v>
      </c>
      <c r="L768" t="s">
        <v>305</v>
      </c>
      <c r="M768">
        <v>524.55999999999995</v>
      </c>
      <c r="P768">
        <v>0</v>
      </c>
      <c r="R768" s="154"/>
      <c r="S768" s="73">
        <f t="shared" si="87"/>
        <v>59.852295999999996</v>
      </c>
    </row>
    <row r="769" spans="1:19" ht="15">
      <c r="A769" s="161" t="s">
        <v>296</v>
      </c>
      <c r="B769" t="s">
        <v>430</v>
      </c>
      <c r="C769" t="s">
        <v>431</v>
      </c>
      <c r="D769" t="s">
        <v>420</v>
      </c>
      <c r="E769" t="s">
        <v>421</v>
      </c>
      <c r="F769" t="s">
        <v>301</v>
      </c>
      <c r="G769">
        <v>105019</v>
      </c>
      <c r="H769" t="s">
        <v>348</v>
      </c>
      <c r="I769">
        <v>221</v>
      </c>
      <c r="J769" t="s">
        <v>304</v>
      </c>
      <c r="K769" t="s">
        <v>446</v>
      </c>
      <c r="L769" t="s">
        <v>305</v>
      </c>
      <c r="M769">
        <v>258.76</v>
      </c>
      <c r="P769">
        <v>0</v>
      </c>
      <c r="R769" s="154"/>
      <c r="S769" s="73">
        <f t="shared" si="87"/>
        <v>29.524516000000002</v>
      </c>
    </row>
    <row r="770" spans="1:19" ht="15">
      <c r="A770" s="161" t="s">
        <v>296</v>
      </c>
      <c r="B770" t="s">
        <v>430</v>
      </c>
      <c r="C770" t="s">
        <v>431</v>
      </c>
      <c r="D770" t="s">
        <v>420</v>
      </c>
      <c r="E770" t="s">
        <v>421</v>
      </c>
      <c r="F770" t="s">
        <v>301</v>
      </c>
      <c r="G770">
        <v>105019</v>
      </c>
      <c r="H770" t="s">
        <v>348</v>
      </c>
      <c r="I770">
        <v>221</v>
      </c>
      <c r="J770" t="s">
        <v>304</v>
      </c>
      <c r="K770" t="s">
        <v>447</v>
      </c>
      <c r="L770" t="s">
        <v>305</v>
      </c>
      <c r="M770">
        <v>449.63</v>
      </c>
      <c r="P770">
        <v>0</v>
      </c>
      <c r="R770" s="154"/>
      <c r="S770" s="73">
        <f t="shared" si="87"/>
        <v>51.302783000000005</v>
      </c>
    </row>
    <row r="771" spans="1:19" ht="15">
      <c r="A771" s="161" t="s">
        <v>296</v>
      </c>
      <c r="B771" t="s">
        <v>430</v>
      </c>
      <c r="C771" t="s">
        <v>431</v>
      </c>
      <c r="D771" t="s">
        <v>420</v>
      </c>
      <c r="E771" t="s">
        <v>421</v>
      </c>
      <c r="F771" t="s">
        <v>301</v>
      </c>
      <c r="G771">
        <v>105019</v>
      </c>
      <c r="H771" t="s">
        <v>348</v>
      </c>
      <c r="I771">
        <v>221</v>
      </c>
      <c r="J771" t="s">
        <v>304</v>
      </c>
      <c r="K771" t="s">
        <v>448</v>
      </c>
      <c r="L771" t="s">
        <v>305</v>
      </c>
      <c r="M771">
        <v>174.86</v>
      </c>
      <c r="P771">
        <v>0</v>
      </c>
      <c r="R771" s="154"/>
      <c r="S771" s="73">
        <f t="shared" si="87"/>
        <v>19.951526000000001</v>
      </c>
    </row>
    <row r="772" spans="1:19" ht="15">
      <c r="A772" s="161" t="s">
        <v>296</v>
      </c>
      <c r="B772" t="s">
        <v>430</v>
      </c>
      <c r="C772" t="s">
        <v>431</v>
      </c>
      <c r="D772" t="s">
        <v>420</v>
      </c>
      <c r="E772" t="s">
        <v>421</v>
      </c>
      <c r="F772" t="s">
        <v>301</v>
      </c>
      <c r="G772">
        <v>105019</v>
      </c>
      <c r="H772" t="s">
        <v>348</v>
      </c>
      <c r="I772">
        <v>221</v>
      </c>
      <c r="J772" t="s">
        <v>304</v>
      </c>
      <c r="K772" t="s">
        <v>449</v>
      </c>
      <c r="L772" t="s">
        <v>305</v>
      </c>
      <c r="M772">
        <v>199.83</v>
      </c>
      <c r="P772">
        <v>0</v>
      </c>
      <c r="R772" s="154"/>
      <c r="S772" s="73">
        <f t="shared" si="87"/>
        <v>22.800603000000006</v>
      </c>
    </row>
    <row r="773" spans="1:19" ht="15">
      <c r="A773" s="161" t="s">
        <v>296</v>
      </c>
      <c r="B773" t="s">
        <v>430</v>
      </c>
      <c r="C773" t="s">
        <v>431</v>
      </c>
      <c r="D773" t="s">
        <v>420</v>
      </c>
      <c r="E773" t="s">
        <v>421</v>
      </c>
      <c r="F773" t="s">
        <v>301</v>
      </c>
      <c r="G773">
        <v>105019</v>
      </c>
      <c r="H773" t="s">
        <v>348</v>
      </c>
      <c r="I773">
        <v>221</v>
      </c>
      <c r="J773" t="s">
        <v>304</v>
      </c>
      <c r="K773" t="s">
        <v>450</v>
      </c>
      <c r="L773" t="s">
        <v>305</v>
      </c>
      <c r="M773">
        <v>264.77999999999997</v>
      </c>
      <c r="P773">
        <v>0</v>
      </c>
      <c r="R773" s="154"/>
      <c r="S773" s="73">
        <f t="shared" si="87"/>
        <v>30.211397999999999</v>
      </c>
    </row>
    <row r="774" spans="1:19" ht="15">
      <c r="A774" s="161" t="s">
        <v>296</v>
      </c>
      <c r="B774" t="s">
        <v>430</v>
      </c>
      <c r="C774" t="s">
        <v>431</v>
      </c>
      <c r="D774" t="s">
        <v>420</v>
      </c>
      <c r="E774" t="s">
        <v>421</v>
      </c>
      <c r="F774" t="s">
        <v>301</v>
      </c>
      <c r="G774">
        <v>105019</v>
      </c>
      <c r="H774" t="s">
        <v>348</v>
      </c>
      <c r="I774">
        <v>221</v>
      </c>
      <c r="J774" t="s">
        <v>304</v>
      </c>
      <c r="K774" t="s">
        <v>451</v>
      </c>
      <c r="L774" t="s">
        <v>305</v>
      </c>
      <c r="M774">
        <v>214.82</v>
      </c>
      <c r="P774">
        <v>0</v>
      </c>
      <c r="R774" s="154"/>
      <c r="S774" s="73">
        <f t="shared" si="87"/>
        <v>24.510961999999999</v>
      </c>
    </row>
    <row r="775" spans="1:19" ht="15">
      <c r="A775" s="161" t="s">
        <v>296</v>
      </c>
      <c r="B775" t="s">
        <v>430</v>
      </c>
      <c r="C775" t="s">
        <v>431</v>
      </c>
      <c r="D775" t="s">
        <v>420</v>
      </c>
      <c r="E775" t="s">
        <v>421</v>
      </c>
      <c r="F775" t="s">
        <v>301</v>
      </c>
      <c r="G775">
        <v>105019</v>
      </c>
      <c r="H775" t="s">
        <v>348</v>
      </c>
      <c r="I775">
        <v>221</v>
      </c>
      <c r="J775" t="s">
        <v>304</v>
      </c>
      <c r="K775" t="s">
        <v>452</v>
      </c>
      <c r="L775" t="s">
        <v>305</v>
      </c>
      <c r="M775">
        <v>527.11</v>
      </c>
      <c r="P775">
        <v>0</v>
      </c>
      <c r="R775" s="154"/>
      <c r="S775" s="73">
        <f t="shared" si="87"/>
        <v>60.143251000000006</v>
      </c>
    </row>
    <row r="776" spans="1:19" ht="15">
      <c r="A776" s="161" t="s">
        <v>296</v>
      </c>
      <c r="B776" t="s">
        <v>430</v>
      </c>
      <c r="C776" t="s">
        <v>431</v>
      </c>
      <c r="D776" t="s">
        <v>420</v>
      </c>
      <c r="E776" t="s">
        <v>421</v>
      </c>
      <c r="F776" t="s">
        <v>301</v>
      </c>
      <c r="G776">
        <v>105019</v>
      </c>
      <c r="H776" t="s">
        <v>348</v>
      </c>
      <c r="I776">
        <v>221</v>
      </c>
      <c r="J776" t="s">
        <v>304</v>
      </c>
      <c r="K776" t="s">
        <v>453</v>
      </c>
      <c r="L776" t="s">
        <v>305</v>
      </c>
      <c r="M776">
        <v>289.76</v>
      </c>
      <c r="P776">
        <v>0</v>
      </c>
      <c r="R776" s="154"/>
      <c r="S776" s="73">
        <f t="shared" si="87"/>
        <v>33.061616000000001</v>
      </c>
    </row>
    <row r="777" spans="1:19" ht="15">
      <c r="A777" s="161" t="s">
        <v>296</v>
      </c>
      <c r="B777" t="s">
        <v>430</v>
      </c>
      <c r="C777" t="s">
        <v>431</v>
      </c>
      <c r="D777" t="s">
        <v>420</v>
      </c>
      <c r="E777" t="s">
        <v>421</v>
      </c>
      <c r="F777" t="s">
        <v>301</v>
      </c>
      <c r="G777">
        <v>105019</v>
      </c>
      <c r="H777" t="s">
        <v>348</v>
      </c>
      <c r="I777">
        <v>221</v>
      </c>
      <c r="J777" t="s">
        <v>304</v>
      </c>
      <c r="K777" t="s">
        <v>417</v>
      </c>
      <c r="L777" t="s">
        <v>305</v>
      </c>
      <c r="M777">
        <v>359.4</v>
      </c>
      <c r="P777">
        <v>0</v>
      </c>
      <c r="R777" s="154"/>
      <c r="S777" s="73">
        <f t="shared" si="87"/>
        <v>41.007539999999999</v>
      </c>
    </row>
    <row r="778" spans="1:19" ht="15">
      <c r="A778" s="161" t="s">
        <v>296</v>
      </c>
      <c r="B778" t="s">
        <v>430</v>
      </c>
      <c r="C778" t="s">
        <v>431</v>
      </c>
      <c r="D778" t="s">
        <v>420</v>
      </c>
      <c r="E778" t="s">
        <v>421</v>
      </c>
      <c r="F778" t="s">
        <v>301</v>
      </c>
      <c r="G778">
        <v>105019</v>
      </c>
      <c r="H778" t="s">
        <v>348</v>
      </c>
      <c r="I778">
        <v>221</v>
      </c>
      <c r="J778" t="s">
        <v>304</v>
      </c>
      <c r="K778" t="s">
        <v>454</v>
      </c>
      <c r="L778" t="s">
        <v>305</v>
      </c>
      <c r="M778">
        <v>389.68</v>
      </c>
      <c r="P778">
        <v>0</v>
      </c>
      <c r="R778" s="154"/>
      <c r="S778" s="73">
        <f t="shared" si="87"/>
        <v>44.462488000000008</v>
      </c>
    </row>
    <row r="779" spans="1:19" ht="15">
      <c r="A779" s="161" t="s">
        <v>296</v>
      </c>
      <c r="B779" t="s">
        <v>430</v>
      </c>
      <c r="C779" t="s">
        <v>431</v>
      </c>
      <c r="D779" t="s">
        <v>420</v>
      </c>
      <c r="E779" t="s">
        <v>421</v>
      </c>
      <c r="F779" t="s">
        <v>301</v>
      </c>
      <c r="G779">
        <v>105019</v>
      </c>
      <c r="H779" t="s">
        <v>348</v>
      </c>
      <c r="I779">
        <v>221</v>
      </c>
      <c r="J779" t="s">
        <v>304</v>
      </c>
      <c r="K779" t="s">
        <v>455</v>
      </c>
      <c r="L779" t="s">
        <v>305</v>
      </c>
      <c r="M779">
        <v>174.86</v>
      </c>
      <c r="P779">
        <v>0</v>
      </c>
      <c r="R779" s="154"/>
      <c r="S779" s="73">
        <f t="shared" si="87"/>
        <v>19.951526000000001</v>
      </c>
    </row>
    <row r="780" spans="1:19" ht="15">
      <c r="A780" s="161" t="s">
        <v>296</v>
      </c>
      <c r="B780" t="s">
        <v>430</v>
      </c>
      <c r="C780" t="s">
        <v>431</v>
      </c>
      <c r="D780" t="s">
        <v>420</v>
      </c>
      <c r="E780" t="s">
        <v>421</v>
      </c>
      <c r="F780" t="s">
        <v>301</v>
      </c>
      <c r="G780">
        <v>107001</v>
      </c>
      <c r="H780" t="s">
        <v>423</v>
      </c>
      <c r="I780">
        <v>221</v>
      </c>
      <c r="J780" t="s">
        <v>304</v>
      </c>
      <c r="K780" t="s">
        <v>435</v>
      </c>
      <c r="L780" t="s">
        <v>305</v>
      </c>
      <c r="M780">
        <v>4.78</v>
      </c>
      <c r="P780">
        <v>0</v>
      </c>
      <c r="R780" s="154"/>
      <c r="S780" s="73">
        <f t="shared" si="87"/>
        <v>0.54539800000000005</v>
      </c>
    </row>
    <row r="781" spans="1:19" ht="15">
      <c r="A781" s="161" t="s">
        <v>296</v>
      </c>
      <c r="B781" t="s">
        <v>430</v>
      </c>
      <c r="C781" t="s">
        <v>431</v>
      </c>
      <c r="D781" t="s">
        <v>420</v>
      </c>
      <c r="E781" t="s">
        <v>421</v>
      </c>
      <c r="F781" t="s">
        <v>301</v>
      </c>
      <c r="G781">
        <v>107001</v>
      </c>
      <c r="H781" t="s">
        <v>423</v>
      </c>
      <c r="I781">
        <v>221</v>
      </c>
      <c r="J781" t="s">
        <v>304</v>
      </c>
      <c r="K781" t="s">
        <v>437</v>
      </c>
      <c r="L781" t="s">
        <v>305</v>
      </c>
      <c r="M781">
        <v>24.42</v>
      </c>
      <c r="P781">
        <v>0</v>
      </c>
      <c r="R781" s="154"/>
      <c r="S781" s="73">
        <f t="shared" si="87"/>
        <v>2.7863220000000002</v>
      </c>
    </row>
    <row r="782" spans="1:19" ht="15">
      <c r="A782" s="161" t="s">
        <v>296</v>
      </c>
      <c r="B782" t="s">
        <v>430</v>
      </c>
      <c r="C782" t="s">
        <v>431</v>
      </c>
      <c r="D782" t="s">
        <v>420</v>
      </c>
      <c r="E782" t="s">
        <v>421</v>
      </c>
      <c r="F782" t="s">
        <v>301</v>
      </c>
      <c r="G782">
        <v>107001</v>
      </c>
      <c r="H782" t="s">
        <v>423</v>
      </c>
      <c r="I782">
        <v>221</v>
      </c>
      <c r="J782" t="s">
        <v>304</v>
      </c>
      <c r="K782" t="s">
        <v>402</v>
      </c>
      <c r="L782" t="s">
        <v>305</v>
      </c>
      <c r="M782">
        <v>26.3</v>
      </c>
      <c r="P782">
        <v>0</v>
      </c>
      <c r="R782" s="154"/>
      <c r="S782" s="73">
        <f t="shared" si="87"/>
        <v>3.0008300000000006</v>
      </c>
    </row>
    <row r="783" spans="1:19" ht="15">
      <c r="A783" s="161" t="s">
        <v>296</v>
      </c>
      <c r="B783" t="s">
        <v>430</v>
      </c>
      <c r="C783" t="s">
        <v>431</v>
      </c>
      <c r="D783" t="s">
        <v>420</v>
      </c>
      <c r="E783" t="s">
        <v>421</v>
      </c>
      <c r="F783" t="s">
        <v>301</v>
      </c>
      <c r="G783">
        <v>107001</v>
      </c>
      <c r="H783" t="s">
        <v>423</v>
      </c>
      <c r="I783">
        <v>221</v>
      </c>
      <c r="J783" t="s">
        <v>304</v>
      </c>
      <c r="K783" t="s">
        <v>438</v>
      </c>
      <c r="L783" t="s">
        <v>305</v>
      </c>
      <c r="M783">
        <v>20.67</v>
      </c>
      <c r="P783">
        <v>0</v>
      </c>
      <c r="R783" s="154"/>
      <c r="S783" s="73">
        <f t="shared" si="87"/>
        <v>2.3584470000000004</v>
      </c>
    </row>
    <row r="784" spans="1:19" ht="15">
      <c r="A784" s="161" t="s">
        <v>296</v>
      </c>
      <c r="B784" t="s">
        <v>430</v>
      </c>
      <c r="C784" t="s">
        <v>431</v>
      </c>
      <c r="D784" t="s">
        <v>420</v>
      </c>
      <c r="E784" t="s">
        <v>421</v>
      </c>
      <c r="F784" t="s">
        <v>301</v>
      </c>
      <c r="G784">
        <v>107001</v>
      </c>
      <c r="H784" t="s">
        <v>423</v>
      </c>
      <c r="I784">
        <v>221</v>
      </c>
      <c r="J784" t="s">
        <v>304</v>
      </c>
      <c r="K784" t="s">
        <v>439</v>
      </c>
      <c r="L784" t="s">
        <v>305</v>
      </c>
      <c r="M784">
        <v>18.79</v>
      </c>
      <c r="P784">
        <v>0</v>
      </c>
      <c r="R784" s="154"/>
      <c r="S784" s="73">
        <f t="shared" si="87"/>
        <v>2.143939</v>
      </c>
    </row>
    <row r="785" spans="1:19" ht="15">
      <c r="A785" s="161" t="s">
        <v>296</v>
      </c>
      <c r="B785" t="s">
        <v>430</v>
      </c>
      <c r="C785" t="s">
        <v>431</v>
      </c>
      <c r="D785" t="s">
        <v>420</v>
      </c>
      <c r="E785" t="s">
        <v>421</v>
      </c>
      <c r="F785" t="s">
        <v>301</v>
      </c>
      <c r="G785">
        <v>107001</v>
      </c>
      <c r="H785" t="s">
        <v>423</v>
      </c>
      <c r="I785">
        <v>221</v>
      </c>
      <c r="J785" t="s">
        <v>304</v>
      </c>
      <c r="K785" t="s">
        <v>440</v>
      </c>
      <c r="L785" t="s">
        <v>305</v>
      </c>
      <c r="M785">
        <v>16.91</v>
      </c>
      <c r="P785">
        <v>0</v>
      </c>
      <c r="R785" s="154"/>
      <c r="S785" s="73">
        <f t="shared" si="87"/>
        <v>1.9294310000000001</v>
      </c>
    </row>
    <row r="786" spans="1:19" ht="15">
      <c r="A786" s="161" t="s">
        <v>296</v>
      </c>
      <c r="B786" t="s">
        <v>430</v>
      </c>
      <c r="C786" t="s">
        <v>431</v>
      </c>
      <c r="D786" t="s">
        <v>420</v>
      </c>
      <c r="E786" t="s">
        <v>421</v>
      </c>
      <c r="F786" t="s">
        <v>301</v>
      </c>
      <c r="G786">
        <v>107001</v>
      </c>
      <c r="H786" t="s">
        <v>423</v>
      </c>
      <c r="I786">
        <v>221</v>
      </c>
      <c r="J786" t="s">
        <v>304</v>
      </c>
      <c r="K786" t="s">
        <v>441</v>
      </c>
      <c r="L786" t="s">
        <v>305</v>
      </c>
      <c r="M786">
        <v>26.33</v>
      </c>
      <c r="P786">
        <v>0</v>
      </c>
      <c r="R786" s="154"/>
      <c r="S786" s="73">
        <f t="shared" si="87"/>
        <v>3.0042529999999998</v>
      </c>
    </row>
    <row r="787" spans="1:19" ht="15">
      <c r="A787" s="161" t="s">
        <v>296</v>
      </c>
      <c r="B787" t="s">
        <v>430</v>
      </c>
      <c r="C787" t="s">
        <v>431</v>
      </c>
      <c r="D787" t="s">
        <v>420</v>
      </c>
      <c r="E787" t="s">
        <v>421</v>
      </c>
      <c r="F787" t="s">
        <v>301</v>
      </c>
      <c r="G787">
        <v>107001</v>
      </c>
      <c r="H787" t="s">
        <v>423</v>
      </c>
      <c r="I787">
        <v>221</v>
      </c>
      <c r="J787" t="s">
        <v>304</v>
      </c>
      <c r="K787" t="s">
        <v>442</v>
      </c>
      <c r="L787" t="s">
        <v>305</v>
      </c>
      <c r="M787">
        <v>1.46</v>
      </c>
      <c r="P787">
        <v>0</v>
      </c>
      <c r="R787" s="154"/>
      <c r="S787" s="73">
        <f t="shared" si="87"/>
        <v>0.16658599999999998</v>
      </c>
    </row>
    <row r="788" spans="1:19" ht="15">
      <c r="A788" s="161" t="s">
        <v>296</v>
      </c>
      <c r="B788" t="s">
        <v>430</v>
      </c>
      <c r="C788" t="s">
        <v>431</v>
      </c>
      <c r="D788" t="s">
        <v>420</v>
      </c>
      <c r="E788" t="s">
        <v>421</v>
      </c>
      <c r="F788" t="s">
        <v>301</v>
      </c>
      <c r="G788">
        <v>107001</v>
      </c>
      <c r="H788" t="s">
        <v>423</v>
      </c>
      <c r="I788">
        <v>221</v>
      </c>
      <c r="J788" t="s">
        <v>304</v>
      </c>
      <c r="K788" t="s">
        <v>443</v>
      </c>
      <c r="L788" t="s">
        <v>305</v>
      </c>
      <c r="M788">
        <v>24.42</v>
      </c>
      <c r="P788">
        <v>0</v>
      </c>
      <c r="R788" s="154"/>
      <c r="S788" s="73">
        <f t="shared" si="87"/>
        <v>2.7863220000000002</v>
      </c>
    </row>
    <row r="789" spans="1:19" ht="15">
      <c r="A789" s="161" t="s">
        <v>296</v>
      </c>
      <c r="B789" t="s">
        <v>430</v>
      </c>
      <c r="C789" t="s">
        <v>431</v>
      </c>
      <c r="D789" t="s">
        <v>420</v>
      </c>
      <c r="E789" t="s">
        <v>421</v>
      </c>
      <c r="F789" t="s">
        <v>301</v>
      </c>
      <c r="G789">
        <v>107001</v>
      </c>
      <c r="H789" t="s">
        <v>423</v>
      </c>
      <c r="I789">
        <v>221</v>
      </c>
      <c r="J789" t="s">
        <v>304</v>
      </c>
      <c r="K789" t="s">
        <v>444</v>
      </c>
      <c r="L789" t="s">
        <v>305</v>
      </c>
      <c r="M789">
        <v>18.79</v>
      </c>
      <c r="P789">
        <v>0</v>
      </c>
      <c r="R789" s="154"/>
      <c r="S789" s="73">
        <f t="shared" si="87"/>
        <v>2.143939</v>
      </c>
    </row>
    <row r="790" spans="1:19" ht="15">
      <c r="A790" s="161" t="s">
        <v>296</v>
      </c>
      <c r="B790" t="s">
        <v>430</v>
      </c>
      <c r="C790" t="s">
        <v>431</v>
      </c>
      <c r="D790" t="s">
        <v>420</v>
      </c>
      <c r="E790" t="s">
        <v>421</v>
      </c>
      <c r="F790" t="s">
        <v>301</v>
      </c>
      <c r="G790">
        <v>107001</v>
      </c>
      <c r="H790" t="s">
        <v>423</v>
      </c>
      <c r="I790">
        <v>221</v>
      </c>
      <c r="J790" t="s">
        <v>304</v>
      </c>
      <c r="K790" t="s">
        <v>403</v>
      </c>
      <c r="L790" t="s">
        <v>305</v>
      </c>
      <c r="M790">
        <v>18.79</v>
      </c>
      <c r="P790">
        <v>0</v>
      </c>
      <c r="R790" s="154"/>
      <c r="S790" s="73">
        <f t="shared" si="87"/>
        <v>2.143939</v>
      </c>
    </row>
    <row r="791" spans="1:19" ht="15">
      <c r="A791" s="161" t="s">
        <v>296</v>
      </c>
      <c r="B791" t="s">
        <v>430</v>
      </c>
      <c r="C791" t="s">
        <v>431</v>
      </c>
      <c r="D791" t="s">
        <v>420</v>
      </c>
      <c r="E791" t="s">
        <v>421</v>
      </c>
      <c r="F791" t="s">
        <v>301</v>
      </c>
      <c r="G791">
        <v>107001</v>
      </c>
      <c r="H791" t="s">
        <v>423</v>
      </c>
      <c r="I791">
        <v>221</v>
      </c>
      <c r="J791" t="s">
        <v>304</v>
      </c>
      <c r="K791" t="s">
        <v>404</v>
      </c>
      <c r="L791" t="s">
        <v>305</v>
      </c>
      <c r="M791">
        <v>22.54</v>
      </c>
      <c r="P791">
        <v>0</v>
      </c>
      <c r="R791" s="154"/>
      <c r="S791" s="73">
        <f t="shared" si="87"/>
        <v>2.5718139999999998</v>
      </c>
    </row>
    <row r="792" spans="1:19" ht="15">
      <c r="A792" s="161" t="s">
        <v>296</v>
      </c>
      <c r="B792" t="s">
        <v>430</v>
      </c>
      <c r="C792" t="s">
        <v>431</v>
      </c>
      <c r="D792" t="s">
        <v>420</v>
      </c>
      <c r="E792" t="s">
        <v>421</v>
      </c>
      <c r="F792" t="s">
        <v>301</v>
      </c>
      <c r="G792">
        <v>107001</v>
      </c>
      <c r="H792" t="s">
        <v>423</v>
      </c>
      <c r="I792">
        <v>221</v>
      </c>
      <c r="J792" t="s">
        <v>304</v>
      </c>
      <c r="K792" t="s">
        <v>445</v>
      </c>
      <c r="L792" t="s">
        <v>305</v>
      </c>
      <c r="M792">
        <v>39.450000000000003</v>
      </c>
      <c r="P792">
        <v>0</v>
      </c>
      <c r="R792" s="154"/>
      <c r="S792" s="73">
        <f t="shared" si="87"/>
        <v>4.5012449999999999</v>
      </c>
    </row>
    <row r="793" spans="1:19" ht="15">
      <c r="A793" s="161" t="s">
        <v>296</v>
      </c>
      <c r="B793" t="s">
        <v>430</v>
      </c>
      <c r="C793" t="s">
        <v>431</v>
      </c>
      <c r="D793" t="s">
        <v>420</v>
      </c>
      <c r="E793" t="s">
        <v>421</v>
      </c>
      <c r="F793" t="s">
        <v>301</v>
      </c>
      <c r="G793">
        <v>107001</v>
      </c>
      <c r="H793" t="s">
        <v>423</v>
      </c>
      <c r="I793">
        <v>221</v>
      </c>
      <c r="J793" t="s">
        <v>304</v>
      </c>
      <c r="K793" t="s">
        <v>446</v>
      </c>
      <c r="L793" t="s">
        <v>305</v>
      </c>
      <c r="M793">
        <v>19.46</v>
      </c>
      <c r="P793">
        <v>0</v>
      </c>
      <c r="R793" s="154"/>
      <c r="S793" s="73">
        <f t="shared" si="87"/>
        <v>2.2203860000000004</v>
      </c>
    </row>
    <row r="794" spans="1:19" ht="15">
      <c r="A794" s="161" t="s">
        <v>296</v>
      </c>
      <c r="B794" t="s">
        <v>430</v>
      </c>
      <c r="C794" t="s">
        <v>431</v>
      </c>
      <c r="D794" t="s">
        <v>420</v>
      </c>
      <c r="E794" t="s">
        <v>421</v>
      </c>
      <c r="F794" t="s">
        <v>301</v>
      </c>
      <c r="G794">
        <v>107001</v>
      </c>
      <c r="H794" t="s">
        <v>423</v>
      </c>
      <c r="I794">
        <v>221</v>
      </c>
      <c r="J794" t="s">
        <v>304</v>
      </c>
      <c r="K794" t="s">
        <v>447</v>
      </c>
      <c r="L794" t="s">
        <v>305</v>
      </c>
      <c r="M794">
        <v>33.82</v>
      </c>
      <c r="P794">
        <v>0</v>
      </c>
      <c r="R794" s="154"/>
      <c r="S794" s="73">
        <f t="shared" si="87"/>
        <v>3.8588620000000002</v>
      </c>
    </row>
    <row r="795" spans="1:19" ht="15">
      <c r="A795" s="161" t="s">
        <v>296</v>
      </c>
      <c r="B795" t="s">
        <v>430</v>
      </c>
      <c r="C795" t="s">
        <v>431</v>
      </c>
      <c r="D795" t="s">
        <v>420</v>
      </c>
      <c r="E795" t="s">
        <v>421</v>
      </c>
      <c r="F795" t="s">
        <v>301</v>
      </c>
      <c r="G795">
        <v>107001</v>
      </c>
      <c r="H795" t="s">
        <v>423</v>
      </c>
      <c r="I795">
        <v>221</v>
      </c>
      <c r="J795" t="s">
        <v>304</v>
      </c>
      <c r="K795" t="s">
        <v>448</v>
      </c>
      <c r="L795" t="s">
        <v>305</v>
      </c>
      <c r="M795">
        <v>13.15</v>
      </c>
      <c r="P795">
        <v>0</v>
      </c>
      <c r="R795" s="154"/>
      <c r="S795" s="73">
        <f t="shared" si="87"/>
        <v>1.5004150000000003</v>
      </c>
    </row>
    <row r="796" spans="1:19" ht="15">
      <c r="A796" s="161" t="s">
        <v>296</v>
      </c>
      <c r="B796" t="s">
        <v>430</v>
      </c>
      <c r="C796" t="s">
        <v>431</v>
      </c>
      <c r="D796" t="s">
        <v>420</v>
      </c>
      <c r="E796" t="s">
        <v>421</v>
      </c>
      <c r="F796" t="s">
        <v>301</v>
      </c>
      <c r="G796">
        <v>107001</v>
      </c>
      <c r="H796" t="s">
        <v>423</v>
      </c>
      <c r="I796">
        <v>221</v>
      </c>
      <c r="J796" t="s">
        <v>304</v>
      </c>
      <c r="K796" t="s">
        <v>449</v>
      </c>
      <c r="L796" t="s">
        <v>305</v>
      </c>
      <c r="M796">
        <v>15.03</v>
      </c>
      <c r="P796">
        <v>0</v>
      </c>
      <c r="R796" s="154"/>
      <c r="S796" s="73">
        <f t="shared" si="87"/>
        <v>1.7149230000000002</v>
      </c>
    </row>
    <row r="797" spans="1:19" ht="15">
      <c r="A797" s="161" t="s">
        <v>296</v>
      </c>
      <c r="B797" t="s">
        <v>430</v>
      </c>
      <c r="C797" t="s">
        <v>431</v>
      </c>
      <c r="D797" t="s">
        <v>420</v>
      </c>
      <c r="E797" t="s">
        <v>421</v>
      </c>
      <c r="F797" t="s">
        <v>301</v>
      </c>
      <c r="G797">
        <v>107001</v>
      </c>
      <c r="H797" t="s">
        <v>423</v>
      </c>
      <c r="I797">
        <v>221</v>
      </c>
      <c r="J797" t="s">
        <v>304</v>
      </c>
      <c r="K797" t="s">
        <v>450</v>
      </c>
      <c r="L797" t="s">
        <v>305</v>
      </c>
      <c r="M797">
        <v>19.91</v>
      </c>
      <c r="P797">
        <v>0</v>
      </c>
      <c r="R797" s="154"/>
      <c r="S797" s="73">
        <f t="shared" si="87"/>
        <v>2.2717309999999999</v>
      </c>
    </row>
    <row r="798" spans="1:19" ht="15">
      <c r="A798" s="161" t="s">
        <v>296</v>
      </c>
      <c r="B798" t="s">
        <v>430</v>
      </c>
      <c r="C798" t="s">
        <v>431</v>
      </c>
      <c r="D798" t="s">
        <v>420</v>
      </c>
      <c r="E798" t="s">
        <v>421</v>
      </c>
      <c r="F798" t="s">
        <v>301</v>
      </c>
      <c r="G798">
        <v>107001</v>
      </c>
      <c r="H798" t="s">
        <v>423</v>
      </c>
      <c r="I798">
        <v>221</v>
      </c>
      <c r="J798" t="s">
        <v>304</v>
      </c>
      <c r="K798" t="s">
        <v>451</v>
      </c>
      <c r="L798" t="s">
        <v>305</v>
      </c>
      <c r="M798">
        <v>16.16</v>
      </c>
      <c r="P798">
        <v>0</v>
      </c>
      <c r="R798" s="154"/>
      <c r="S798" s="73">
        <f t="shared" ref="S798:S831" si="88">M798*$S$7*1.141</f>
        <v>1.8438560000000002</v>
      </c>
    </row>
    <row r="799" spans="1:19" ht="15">
      <c r="A799" s="161" t="s">
        <v>296</v>
      </c>
      <c r="B799" t="s">
        <v>430</v>
      </c>
      <c r="C799" t="s">
        <v>431</v>
      </c>
      <c r="D799" t="s">
        <v>420</v>
      </c>
      <c r="E799" t="s">
        <v>421</v>
      </c>
      <c r="F799" t="s">
        <v>301</v>
      </c>
      <c r="G799">
        <v>107001</v>
      </c>
      <c r="H799" t="s">
        <v>423</v>
      </c>
      <c r="I799">
        <v>221</v>
      </c>
      <c r="J799" t="s">
        <v>304</v>
      </c>
      <c r="K799" t="s">
        <v>452</v>
      </c>
      <c r="L799" t="s">
        <v>305</v>
      </c>
      <c r="M799">
        <v>39.64</v>
      </c>
      <c r="P799">
        <v>0</v>
      </c>
      <c r="R799" s="154"/>
      <c r="S799" s="73">
        <f t="shared" si="88"/>
        <v>4.5229240000000006</v>
      </c>
    </row>
    <row r="800" spans="1:19" ht="15">
      <c r="A800" s="161" t="s">
        <v>296</v>
      </c>
      <c r="B800" t="s">
        <v>430</v>
      </c>
      <c r="C800" t="s">
        <v>431</v>
      </c>
      <c r="D800" t="s">
        <v>420</v>
      </c>
      <c r="E800" t="s">
        <v>421</v>
      </c>
      <c r="F800" t="s">
        <v>301</v>
      </c>
      <c r="G800">
        <v>107001</v>
      </c>
      <c r="H800" t="s">
        <v>423</v>
      </c>
      <c r="I800">
        <v>221</v>
      </c>
      <c r="J800" t="s">
        <v>304</v>
      </c>
      <c r="K800" t="s">
        <v>453</v>
      </c>
      <c r="L800" t="s">
        <v>305</v>
      </c>
      <c r="M800">
        <v>21.79</v>
      </c>
      <c r="P800">
        <v>0</v>
      </c>
      <c r="R800" s="154"/>
      <c r="S800" s="73">
        <f t="shared" si="88"/>
        <v>2.4862389999999999</v>
      </c>
    </row>
    <row r="801" spans="1:19" ht="15">
      <c r="A801" s="161" t="s">
        <v>296</v>
      </c>
      <c r="B801" t="s">
        <v>430</v>
      </c>
      <c r="C801" t="s">
        <v>431</v>
      </c>
      <c r="D801" t="s">
        <v>420</v>
      </c>
      <c r="E801" t="s">
        <v>421</v>
      </c>
      <c r="F801" t="s">
        <v>301</v>
      </c>
      <c r="G801">
        <v>107001</v>
      </c>
      <c r="H801" t="s">
        <v>423</v>
      </c>
      <c r="I801">
        <v>221</v>
      </c>
      <c r="J801" t="s">
        <v>304</v>
      </c>
      <c r="K801" t="s">
        <v>417</v>
      </c>
      <c r="L801" t="s">
        <v>305</v>
      </c>
      <c r="M801">
        <v>27.03</v>
      </c>
      <c r="P801">
        <v>0</v>
      </c>
      <c r="R801" s="154"/>
      <c r="S801" s="73">
        <f t="shared" si="88"/>
        <v>3.0841230000000004</v>
      </c>
    </row>
    <row r="802" spans="1:19" ht="15">
      <c r="A802" s="161" t="s">
        <v>296</v>
      </c>
      <c r="B802" t="s">
        <v>430</v>
      </c>
      <c r="C802" t="s">
        <v>431</v>
      </c>
      <c r="D802" t="s">
        <v>420</v>
      </c>
      <c r="E802" t="s">
        <v>421</v>
      </c>
      <c r="F802" t="s">
        <v>301</v>
      </c>
      <c r="G802">
        <v>107001</v>
      </c>
      <c r="H802" t="s">
        <v>423</v>
      </c>
      <c r="I802">
        <v>221</v>
      </c>
      <c r="J802" t="s">
        <v>304</v>
      </c>
      <c r="K802" t="s">
        <v>454</v>
      </c>
      <c r="L802" t="s">
        <v>305</v>
      </c>
      <c r="M802">
        <v>29.31</v>
      </c>
      <c r="P802">
        <v>0</v>
      </c>
      <c r="R802" s="154"/>
      <c r="S802" s="73">
        <f t="shared" si="88"/>
        <v>3.344271</v>
      </c>
    </row>
    <row r="803" spans="1:19" ht="15">
      <c r="A803" s="161" t="s">
        <v>296</v>
      </c>
      <c r="B803" t="s">
        <v>430</v>
      </c>
      <c r="C803" t="s">
        <v>431</v>
      </c>
      <c r="D803" t="s">
        <v>420</v>
      </c>
      <c r="E803" t="s">
        <v>421</v>
      </c>
      <c r="F803" t="s">
        <v>301</v>
      </c>
      <c r="G803">
        <v>107001</v>
      </c>
      <c r="H803" t="s">
        <v>423</v>
      </c>
      <c r="I803">
        <v>221</v>
      </c>
      <c r="J803" t="s">
        <v>304</v>
      </c>
      <c r="K803" t="s">
        <v>455</v>
      </c>
      <c r="L803" t="s">
        <v>305</v>
      </c>
      <c r="M803">
        <v>13.15</v>
      </c>
      <c r="P803">
        <v>0</v>
      </c>
      <c r="R803" s="154"/>
      <c r="S803" s="73">
        <f t="shared" si="88"/>
        <v>1.5004150000000003</v>
      </c>
    </row>
    <row r="804" spans="1:19" ht="15">
      <c r="A804" s="161" t="s">
        <v>296</v>
      </c>
      <c r="B804" t="s">
        <v>430</v>
      </c>
      <c r="C804" t="s">
        <v>431</v>
      </c>
      <c r="D804" t="s">
        <v>420</v>
      </c>
      <c r="E804" t="s">
        <v>421</v>
      </c>
      <c r="F804" t="s">
        <v>301</v>
      </c>
      <c r="G804">
        <v>107501</v>
      </c>
      <c r="H804" t="s">
        <v>433</v>
      </c>
      <c r="I804">
        <v>221</v>
      </c>
      <c r="J804" t="s">
        <v>304</v>
      </c>
      <c r="K804" t="s">
        <v>434</v>
      </c>
      <c r="L804" t="s">
        <v>305</v>
      </c>
      <c r="M804">
        <v>40320.370000000003</v>
      </c>
      <c r="P804">
        <v>0</v>
      </c>
      <c r="R804" s="154"/>
      <c r="S804" s="73">
        <f t="shared" si="88"/>
        <v>4600.5542170000008</v>
      </c>
    </row>
    <row r="805" spans="1:19" ht="15">
      <c r="A805" s="161" t="s">
        <v>296</v>
      </c>
      <c r="B805" t="s">
        <v>430</v>
      </c>
      <c r="C805" t="s">
        <v>431</v>
      </c>
      <c r="D805" t="s">
        <v>420</v>
      </c>
      <c r="E805" t="s">
        <v>421</v>
      </c>
      <c r="F805" t="s">
        <v>301</v>
      </c>
      <c r="G805">
        <v>107501</v>
      </c>
      <c r="H805" t="s">
        <v>433</v>
      </c>
      <c r="I805">
        <v>221</v>
      </c>
      <c r="J805" t="s">
        <v>304</v>
      </c>
      <c r="K805" t="s">
        <v>435</v>
      </c>
      <c r="L805" t="s">
        <v>305</v>
      </c>
      <c r="M805">
        <v>47761.63</v>
      </c>
      <c r="P805">
        <v>0</v>
      </c>
      <c r="R805" s="154"/>
      <c r="S805" s="73">
        <f t="shared" si="88"/>
        <v>5449.6019829999996</v>
      </c>
    </row>
    <row r="806" spans="1:19" ht="15">
      <c r="A806" s="161" t="s">
        <v>296</v>
      </c>
      <c r="B806" t="s">
        <v>430</v>
      </c>
      <c r="C806" t="s">
        <v>431</v>
      </c>
      <c r="D806" t="s">
        <v>420</v>
      </c>
      <c r="E806" t="s">
        <v>421</v>
      </c>
      <c r="F806" t="s">
        <v>301</v>
      </c>
      <c r="G806">
        <v>107501</v>
      </c>
      <c r="H806" t="s">
        <v>433</v>
      </c>
      <c r="I806">
        <v>221</v>
      </c>
      <c r="J806" t="s">
        <v>304</v>
      </c>
      <c r="K806" t="s">
        <v>432</v>
      </c>
      <c r="L806" t="s">
        <v>305</v>
      </c>
      <c r="M806">
        <v>2913.46</v>
      </c>
      <c r="P806">
        <v>0</v>
      </c>
      <c r="R806" s="154"/>
      <c r="S806" s="73">
        <f t="shared" si="88"/>
        <v>332.42578600000002</v>
      </c>
    </row>
    <row r="807" spans="1:19" ht="15">
      <c r="A807" s="161" t="s">
        <v>296</v>
      </c>
      <c r="B807" t="s">
        <v>430</v>
      </c>
      <c r="C807" t="s">
        <v>431</v>
      </c>
      <c r="D807" t="s">
        <v>420</v>
      </c>
      <c r="E807" t="s">
        <v>421</v>
      </c>
      <c r="F807" t="s">
        <v>301</v>
      </c>
      <c r="G807">
        <v>107501</v>
      </c>
      <c r="H807" t="s">
        <v>433</v>
      </c>
      <c r="I807">
        <v>221</v>
      </c>
      <c r="J807" t="s">
        <v>304</v>
      </c>
      <c r="K807" t="s">
        <v>436</v>
      </c>
      <c r="L807" t="s">
        <v>305</v>
      </c>
      <c r="M807">
        <v>23949.01</v>
      </c>
      <c r="P807">
        <v>0</v>
      </c>
      <c r="R807" s="154"/>
      <c r="S807" s="73">
        <f t="shared" si="88"/>
        <v>2732.5820409999997</v>
      </c>
    </row>
    <row r="808" spans="1:19" ht="15">
      <c r="A808" s="161" t="s">
        <v>296</v>
      </c>
      <c r="B808" t="s">
        <v>430</v>
      </c>
      <c r="C808" t="s">
        <v>431</v>
      </c>
      <c r="D808" t="s">
        <v>420</v>
      </c>
      <c r="E808" t="s">
        <v>421</v>
      </c>
      <c r="F808" t="s">
        <v>301</v>
      </c>
      <c r="G808">
        <v>107501</v>
      </c>
      <c r="H808" t="s">
        <v>433</v>
      </c>
      <c r="I808">
        <v>221</v>
      </c>
      <c r="J808" t="s">
        <v>304</v>
      </c>
      <c r="K808" t="s">
        <v>437</v>
      </c>
      <c r="L808" t="s">
        <v>305</v>
      </c>
      <c r="M808">
        <v>243783.31</v>
      </c>
      <c r="P808">
        <v>0</v>
      </c>
      <c r="R808" s="154"/>
      <c r="S808" s="73">
        <f t="shared" si="88"/>
        <v>27815.675671000001</v>
      </c>
    </row>
    <row r="809" spans="1:19" ht="15">
      <c r="A809" s="161" t="s">
        <v>296</v>
      </c>
      <c r="B809" t="s">
        <v>430</v>
      </c>
      <c r="C809" t="s">
        <v>431</v>
      </c>
      <c r="D809" t="s">
        <v>420</v>
      </c>
      <c r="E809" t="s">
        <v>421</v>
      </c>
      <c r="F809" t="s">
        <v>301</v>
      </c>
      <c r="G809">
        <v>107501</v>
      </c>
      <c r="H809" t="s">
        <v>433</v>
      </c>
      <c r="I809">
        <v>221</v>
      </c>
      <c r="J809" t="s">
        <v>304</v>
      </c>
      <c r="K809" t="s">
        <v>402</v>
      </c>
      <c r="L809" t="s">
        <v>305</v>
      </c>
      <c r="M809">
        <v>262535.87</v>
      </c>
      <c r="P809">
        <v>0</v>
      </c>
      <c r="R809" s="154"/>
      <c r="S809" s="73">
        <f t="shared" si="88"/>
        <v>29955.342766999998</v>
      </c>
    </row>
    <row r="810" spans="1:19" ht="15">
      <c r="A810" s="161" t="s">
        <v>296</v>
      </c>
      <c r="B810" t="s">
        <v>430</v>
      </c>
      <c r="C810" t="s">
        <v>431</v>
      </c>
      <c r="D810" t="s">
        <v>420</v>
      </c>
      <c r="E810" t="s">
        <v>421</v>
      </c>
      <c r="F810" t="s">
        <v>301</v>
      </c>
      <c r="G810">
        <v>107501</v>
      </c>
      <c r="H810" t="s">
        <v>433</v>
      </c>
      <c r="I810">
        <v>221</v>
      </c>
      <c r="J810" t="s">
        <v>304</v>
      </c>
      <c r="K810" t="s">
        <v>438</v>
      </c>
      <c r="L810" t="s">
        <v>305</v>
      </c>
      <c r="M810">
        <v>206278.18</v>
      </c>
      <c r="P810">
        <v>0</v>
      </c>
      <c r="R810" s="154"/>
      <c r="S810" s="73">
        <f t="shared" si="88"/>
        <v>23536.340337999998</v>
      </c>
    </row>
    <row r="811" spans="1:19" ht="15">
      <c r="A811" s="161" t="s">
        <v>296</v>
      </c>
      <c r="B811" t="s">
        <v>430</v>
      </c>
      <c r="C811" t="s">
        <v>431</v>
      </c>
      <c r="D811" t="s">
        <v>420</v>
      </c>
      <c r="E811" t="s">
        <v>421</v>
      </c>
      <c r="F811" t="s">
        <v>301</v>
      </c>
      <c r="G811">
        <v>107501</v>
      </c>
      <c r="H811" t="s">
        <v>433</v>
      </c>
      <c r="I811">
        <v>221</v>
      </c>
      <c r="J811" t="s">
        <v>304</v>
      </c>
      <c r="K811" t="s">
        <v>439</v>
      </c>
      <c r="L811" t="s">
        <v>305</v>
      </c>
      <c r="M811">
        <v>187525.62</v>
      </c>
      <c r="P811">
        <v>0</v>
      </c>
      <c r="R811" s="154"/>
      <c r="S811" s="73">
        <f t="shared" si="88"/>
        <v>21396.673242000001</v>
      </c>
    </row>
    <row r="812" spans="1:19" ht="15">
      <c r="A812" s="161" t="s">
        <v>296</v>
      </c>
      <c r="B812" t="s">
        <v>430</v>
      </c>
      <c r="C812" t="s">
        <v>431</v>
      </c>
      <c r="D812" t="s">
        <v>420</v>
      </c>
      <c r="E812" t="s">
        <v>421</v>
      </c>
      <c r="F812" t="s">
        <v>301</v>
      </c>
      <c r="G812">
        <v>107501</v>
      </c>
      <c r="H812" t="s">
        <v>433</v>
      </c>
      <c r="I812">
        <v>221</v>
      </c>
      <c r="J812" t="s">
        <v>304</v>
      </c>
      <c r="K812" t="s">
        <v>440</v>
      </c>
      <c r="L812" t="s">
        <v>305</v>
      </c>
      <c r="M812">
        <v>168773.06</v>
      </c>
      <c r="P812">
        <v>0</v>
      </c>
      <c r="R812" s="154"/>
      <c r="S812" s="73">
        <f t="shared" si="88"/>
        <v>19257.006146</v>
      </c>
    </row>
    <row r="813" spans="1:19" ht="15">
      <c r="A813" s="161" t="s">
        <v>296</v>
      </c>
      <c r="B813" t="s">
        <v>430</v>
      </c>
      <c r="C813" t="s">
        <v>431</v>
      </c>
      <c r="D813" t="s">
        <v>420</v>
      </c>
      <c r="E813" t="s">
        <v>421</v>
      </c>
      <c r="F813" t="s">
        <v>301</v>
      </c>
      <c r="G813">
        <v>107501</v>
      </c>
      <c r="H813" t="s">
        <v>433</v>
      </c>
      <c r="I813">
        <v>221</v>
      </c>
      <c r="J813" t="s">
        <v>304</v>
      </c>
      <c r="K813" t="s">
        <v>441</v>
      </c>
      <c r="L813" t="s">
        <v>305</v>
      </c>
      <c r="M813">
        <v>262535.90999999997</v>
      </c>
      <c r="P813">
        <v>0</v>
      </c>
      <c r="R813" s="154"/>
      <c r="S813" s="73">
        <f t="shared" si="88"/>
        <v>29955.347331000001</v>
      </c>
    </row>
    <row r="814" spans="1:19" ht="15">
      <c r="A814" s="161" t="s">
        <v>296</v>
      </c>
      <c r="B814" t="s">
        <v>430</v>
      </c>
      <c r="C814" t="s">
        <v>431</v>
      </c>
      <c r="D814" t="s">
        <v>420</v>
      </c>
      <c r="E814" t="s">
        <v>421</v>
      </c>
      <c r="F814" t="s">
        <v>301</v>
      </c>
      <c r="G814">
        <v>107501</v>
      </c>
      <c r="H814" t="s">
        <v>433</v>
      </c>
      <c r="I814">
        <v>221</v>
      </c>
      <c r="J814" t="s">
        <v>304</v>
      </c>
      <c r="K814" t="s">
        <v>442</v>
      </c>
      <c r="L814" t="s">
        <v>305</v>
      </c>
      <c r="M814">
        <v>24531.5</v>
      </c>
      <c r="P814">
        <v>0</v>
      </c>
      <c r="R814" s="154"/>
      <c r="S814" s="73">
        <f t="shared" si="88"/>
        <v>2799.0441500000002</v>
      </c>
    </row>
    <row r="815" spans="1:19" ht="15">
      <c r="A815" s="161" t="s">
        <v>296</v>
      </c>
      <c r="B815" t="s">
        <v>430</v>
      </c>
      <c r="C815" t="s">
        <v>431</v>
      </c>
      <c r="D815" t="s">
        <v>420</v>
      </c>
      <c r="E815" t="s">
        <v>421</v>
      </c>
      <c r="F815" t="s">
        <v>301</v>
      </c>
      <c r="G815">
        <v>107501</v>
      </c>
      <c r="H815" t="s">
        <v>433</v>
      </c>
      <c r="I815">
        <v>221</v>
      </c>
      <c r="J815" t="s">
        <v>304</v>
      </c>
      <c r="K815" t="s">
        <v>443</v>
      </c>
      <c r="L815" t="s">
        <v>305</v>
      </c>
      <c r="M815">
        <v>243783.31</v>
      </c>
      <c r="P815">
        <v>0</v>
      </c>
      <c r="R815" s="154"/>
      <c r="S815" s="73">
        <f t="shared" si="88"/>
        <v>27815.675671000001</v>
      </c>
    </row>
    <row r="816" spans="1:19" ht="15">
      <c r="A816" s="161" t="s">
        <v>296</v>
      </c>
      <c r="B816" t="s">
        <v>430</v>
      </c>
      <c r="C816" t="s">
        <v>431</v>
      </c>
      <c r="D816" t="s">
        <v>420</v>
      </c>
      <c r="E816" t="s">
        <v>421</v>
      </c>
      <c r="F816" t="s">
        <v>301</v>
      </c>
      <c r="G816">
        <v>107501</v>
      </c>
      <c r="H816" t="s">
        <v>433</v>
      </c>
      <c r="I816">
        <v>221</v>
      </c>
      <c r="J816" t="s">
        <v>304</v>
      </c>
      <c r="K816" t="s">
        <v>444</v>
      </c>
      <c r="L816" t="s">
        <v>305</v>
      </c>
      <c r="M816">
        <v>187525.62</v>
      </c>
      <c r="P816">
        <v>0</v>
      </c>
      <c r="R816" s="154"/>
      <c r="S816" s="73">
        <f t="shared" si="88"/>
        <v>21396.673242000001</v>
      </c>
    </row>
    <row r="817" spans="1:19" ht="15">
      <c r="A817" s="161" t="s">
        <v>296</v>
      </c>
      <c r="B817" t="s">
        <v>430</v>
      </c>
      <c r="C817" t="s">
        <v>431</v>
      </c>
      <c r="D817" t="s">
        <v>420</v>
      </c>
      <c r="E817" t="s">
        <v>421</v>
      </c>
      <c r="F817" t="s">
        <v>301</v>
      </c>
      <c r="G817">
        <v>107501</v>
      </c>
      <c r="H817" t="s">
        <v>433</v>
      </c>
      <c r="I817">
        <v>221</v>
      </c>
      <c r="J817" t="s">
        <v>304</v>
      </c>
      <c r="K817" t="s">
        <v>403</v>
      </c>
      <c r="L817" t="s">
        <v>305</v>
      </c>
      <c r="M817">
        <v>187525.62</v>
      </c>
      <c r="P817">
        <v>0</v>
      </c>
      <c r="R817" s="154"/>
      <c r="S817" s="73">
        <f t="shared" si="88"/>
        <v>21396.673242000001</v>
      </c>
    </row>
    <row r="818" spans="1:19" ht="15">
      <c r="A818" s="161" t="s">
        <v>296</v>
      </c>
      <c r="B818" t="s">
        <v>430</v>
      </c>
      <c r="C818" t="s">
        <v>431</v>
      </c>
      <c r="D818" t="s">
        <v>420</v>
      </c>
      <c r="E818" t="s">
        <v>421</v>
      </c>
      <c r="F818" t="s">
        <v>301</v>
      </c>
      <c r="G818">
        <v>107501</v>
      </c>
      <c r="H818" t="s">
        <v>433</v>
      </c>
      <c r="I818">
        <v>221</v>
      </c>
      <c r="J818" t="s">
        <v>304</v>
      </c>
      <c r="K818" t="s">
        <v>404</v>
      </c>
      <c r="L818" t="s">
        <v>305</v>
      </c>
      <c r="M818">
        <v>225030.74</v>
      </c>
      <c r="P818">
        <v>0</v>
      </c>
      <c r="R818" s="154"/>
      <c r="S818" s="73">
        <f t="shared" si="88"/>
        <v>25676.007433999999</v>
      </c>
    </row>
    <row r="819" spans="1:19" ht="15">
      <c r="A819" s="161" t="s">
        <v>296</v>
      </c>
      <c r="B819" t="s">
        <v>430</v>
      </c>
      <c r="C819" t="s">
        <v>431</v>
      </c>
      <c r="D819" t="s">
        <v>420</v>
      </c>
      <c r="E819" t="s">
        <v>421</v>
      </c>
      <c r="F819" t="s">
        <v>301</v>
      </c>
      <c r="G819">
        <v>107501</v>
      </c>
      <c r="H819" t="s">
        <v>433</v>
      </c>
      <c r="I819">
        <v>221</v>
      </c>
      <c r="J819" t="s">
        <v>304</v>
      </c>
      <c r="K819" t="s">
        <v>445</v>
      </c>
      <c r="L819" t="s">
        <v>305</v>
      </c>
      <c r="M819">
        <v>393803.8</v>
      </c>
      <c r="P819">
        <v>0</v>
      </c>
      <c r="R819" s="154"/>
      <c r="S819" s="73">
        <f t="shared" si="88"/>
        <v>44933.013580000006</v>
      </c>
    </row>
    <row r="820" spans="1:19" ht="15">
      <c r="A820" s="161" t="s">
        <v>296</v>
      </c>
      <c r="B820" t="s">
        <v>430</v>
      </c>
      <c r="C820" t="s">
        <v>431</v>
      </c>
      <c r="D820" t="s">
        <v>420</v>
      </c>
      <c r="E820" t="s">
        <v>421</v>
      </c>
      <c r="F820" t="s">
        <v>301</v>
      </c>
      <c r="G820">
        <v>107501</v>
      </c>
      <c r="H820" t="s">
        <v>433</v>
      </c>
      <c r="I820">
        <v>221</v>
      </c>
      <c r="J820" t="s">
        <v>304</v>
      </c>
      <c r="K820" t="s">
        <v>446</v>
      </c>
      <c r="L820" t="s">
        <v>305</v>
      </c>
      <c r="M820">
        <v>194261.23</v>
      </c>
      <c r="P820">
        <v>0</v>
      </c>
      <c r="R820" s="154"/>
      <c r="S820" s="73">
        <f t="shared" si="88"/>
        <v>22165.206343000005</v>
      </c>
    </row>
    <row r="821" spans="1:19" ht="15">
      <c r="A821" s="161" t="s">
        <v>296</v>
      </c>
      <c r="B821" t="s">
        <v>430</v>
      </c>
      <c r="C821" t="s">
        <v>431</v>
      </c>
      <c r="D821" t="s">
        <v>420</v>
      </c>
      <c r="E821" t="s">
        <v>421</v>
      </c>
      <c r="F821" t="s">
        <v>301</v>
      </c>
      <c r="G821">
        <v>107501</v>
      </c>
      <c r="H821" t="s">
        <v>433</v>
      </c>
      <c r="I821">
        <v>221</v>
      </c>
      <c r="J821" t="s">
        <v>304</v>
      </c>
      <c r="K821" t="s">
        <v>447</v>
      </c>
      <c r="L821" t="s">
        <v>305</v>
      </c>
      <c r="M821">
        <v>337546.12</v>
      </c>
      <c r="P821">
        <v>0</v>
      </c>
      <c r="R821" s="154"/>
      <c r="S821" s="73">
        <f t="shared" si="88"/>
        <v>38514.012291999999</v>
      </c>
    </row>
    <row r="822" spans="1:19" ht="15">
      <c r="A822" s="161" t="s">
        <v>296</v>
      </c>
      <c r="B822" t="s">
        <v>430</v>
      </c>
      <c r="C822" t="s">
        <v>431</v>
      </c>
      <c r="D822" t="s">
        <v>420</v>
      </c>
      <c r="E822" t="s">
        <v>421</v>
      </c>
      <c r="F822" t="s">
        <v>301</v>
      </c>
      <c r="G822">
        <v>107501</v>
      </c>
      <c r="H822" t="s">
        <v>433</v>
      </c>
      <c r="I822">
        <v>221</v>
      </c>
      <c r="J822" t="s">
        <v>304</v>
      </c>
      <c r="K822" t="s">
        <v>448</v>
      </c>
      <c r="L822" t="s">
        <v>305</v>
      </c>
      <c r="M822">
        <v>131267.93</v>
      </c>
      <c r="P822">
        <v>0</v>
      </c>
      <c r="R822" s="154"/>
      <c r="S822" s="73">
        <f t="shared" si="88"/>
        <v>14977.670813000001</v>
      </c>
    </row>
    <row r="823" spans="1:19" ht="15">
      <c r="A823" s="161" t="s">
        <v>296</v>
      </c>
      <c r="B823" t="s">
        <v>430</v>
      </c>
      <c r="C823" t="s">
        <v>431</v>
      </c>
      <c r="D823" t="s">
        <v>420</v>
      </c>
      <c r="E823" t="s">
        <v>421</v>
      </c>
      <c r="F823" t="s">
        <v>301</v>
      </c>
      <c r="G823">
        <v>107501</v>
      </c>
      <c r="H823" t="s">
        <v>433</v>
      </c>
      <c r="I823">
        <v>221</v>
      </c>
      <c r="J823" t="s">
        <v>304</v>
      </c>
      <c r="K823" t="s">
        <v>449</v>
      </c>
      <c r="L823" t="s">
        <v>305</v>
      </c>
      <c r="M823">
        <v>150020.49</v>
      </c>
      <c r="P823">
        <v>0</v>
      </c>
      <c r="R823" s="154"/>
      <c r="S823" s="73">
        <f t="shared" si="88"/>
        <v>17117.337908999998</v>
      </c>
    </row>
    <row r="824" spans="1:19" ht="15">
      <c r="A824" s="161" t="s">
        <v>296</v>
      </c>
      <c r="B824" t="s">
        <v>430</v>
      </c>
      <c r="C824" t="s">
        <v>431</v>
      </c>
      <c r="D824" t="s">
        <v>420</v>
      </c>
      <c r="E824" t="s">
        <v>421</v>
      </c>
      <c r="F824" t="s">
        <v>301</v>
      </c>
      <c r="G824">
        <v>107501</v>
      </c>
      <c r="H824" t="s">
        <v>433</v>
      </c>
      <c r="I824">
        <v>221</v>
      </c>
      <c r="J824" t="s">
        <v>304</v>
      </c>
      <c r="K824" t="s">
        <v>450</v>
      </c>
      <c r="L824" t="s">
        <v>305</v>
      </c>
      <c r="M824">
        <v>198777.15</v>
      </c>
      <c r="P824">
        <v>0</v>
      </c>
      <c r="R824" s="154"/>
      <c r="S824" s="73">
        <f t="shared" si="88"/>
        <v>22680.472815000001</v>
      </c>
    </row>
    <row r="825" spans="1:19" ht="15">
      <c r="A825" s="161" t="s">
        <v>296</v>
      </c>
      <c r="B825" t="s">
        <v>430</v>
      </c>
      <c r="C825" t="s">
        <v>431</v>
      </c>
      <c r="D825" t="s">
        <v>420</v>
      </c>
      <c r="E825" t="s">
        <v>421</v>
      </c>
      <c r="F825" t="s">
        <v>301</v>
      </c>
      <c r="G825">
        <v>107501</v>
      </c>
      <c r="H825" t="s">
        <v>433</v>
      </c>
      <c r="I825">
        <v>221</v>
      </c>
      <c r="J825" t="s">
        <v>304</v>
      </c>
      <c r="K825" t="s">
        <v>451</v>
      </c>
      <c r="L825" t="s">
        <v>305</v>
      </c>
      <c r="M825">
        <v>161272.04</v>
      </c>
      <c r="P825">
        <v>0</v>
      </c>
      <c r="R825" s="154"/>
      <c r="S825" s="73">
        <f t="shared" si="88"/>
        <v>18401.139764000003</v>
      </c>
    </row>
    <row r="826" spans="1:19" ht="15">
      <c r="A826" s="161" t="s">
        <v>296</v>
      </c>
      <c r="B826" t="s">
        <v>430</v>
      </c>
      <c r="C826" t="s">
        <v>431</v>
      </c>
      <c r="D826" t="s">
        <v>420</v>
      </c>
      <c r="E826" t="s">
        <v>421</v>
      </c>
      <c r="F826" t="s">
        <v>301</v>
      </c>
      <c r="G826">
        <v>107501</v>
      </c>
      <c r="H826" t="s">
        <v>433</v>
      </c>
      <c r="I826">
        <v>221</v>
      </c>
      <c r="J826" t="s">
        <v>304</v>
      </c>
      <c r="K826" t="s">
        <v>452</v>
      </c>
      <c r="L826" t="s">
        <v>305</v>
      </c>
      <c r="M826">
        <v>395717.32</v>
      </c>
      <c r="P826">
        <v>0</v>
      </c>
      <c r="R826" s="154"/>
      <c r="S826" s="73">
        <f t="shared" si="88"/>
        <v>45151.346212000004</v>
      </c>
    </row>
    <row r="827" spans="1:19" ht="15">
      <c r="A827" s="161" t="s">
        <v>296</v>
      </c>
      <c r="B827" t="s">
        <v>430</v>
      </c>
      <c r="C827" t="s">
        <v>431</v>
      </c>
      <c r="D827" t="s">
        <v>420</v>
      </c>
      <c r="E827" t="s">
        <v>421</v>
      </c>
      <c r="F827" t="s">
        <v>301</v>
      </c>
      <c r="G827">
        <v>107501</v>
      </c>
      <c r="H827" t="s">
        <v>433</v>
      </c>
      <c r="I827">
        <v>221</v>
      </c>
      <c r="J827" t="s">
        <v>304</v>
      </c>
      <c r="K827" t="s">
        <v>453</v>
      </c>
      <c r="L827" t="s">
        <v>305</v>
      </c>
      <c r="M827">
        <v>217529.72</v>
      </c>
      <c r="P827">
        <v>0</v>
      </c>
      <c r="R827" s="154"/>
      <c r="S827" s="73">
        <f t="shared" si="88"/>
        <v>24820.141052000003</v>
      </c>
    </row>
    <row r="828" spans="1:19" ht="15">
      <c r="A828" s="161" t="s">
        <v>296</v>
      </c>
      <c r="B828" t="s">
        <v>430</v>
      </c>
      <c r="C828" t="s">
        <v>431</v>
      </c>
      <c r="D828" t="s">
        <v>420</v>
      </c>
      <c r="E828" t="s">
        <v>421</v>
      </c>
      <c r="F828" t="s">
        <v>301</v>
      </c>
      <c r="G828">
        <v>107501</v>
      </c>
      <c r="H828" t="s">
        <v>433</v>
      </c>
      <c r="I828">
        <v>221</v>
      </c>
      <c r="J828" t="s">
        <v>304</v>
      </c>
      <c r="K828" t="s">
        <v>417</v>
      </c>
      <c r="L828" t="s">
        <v>305</v>
      </c>
      <c r="M828">
        <v>269807.27</v>
      </c>
      <c r="P828">
        <v>0</v>
      </c>
      <c r="R828" s="154"/>
      <c r="S828" s="73">
        <f t="shared" si="88"/>
        <v>30785.009507000002</v>
      </c>
    </row>
    <row r="829" spans="1:19" ht="15">
      <c r="A829" s="161" t="s">
        <v>296</v>
      </c>
      <c r="B829" t="s">
        <v>430</v>
      </c>
      <c r="C829" t="s">
        <v>431</v>
      </c>
      <c r="D829" t="s">
        <v>420</v>
      </c>
      <c r="E829" t="s">
        <v>421</v>
      </c>
      <c r="F829" t="s">
        <v>301</v>
      </c>
      <c r="G829">
        <v>107501</v>
      </c>
      <c r="H829" t="s">
        <v>433</v>
      </c>
      <c r="I829">
        <v>221</v>
      </c>
      <c r="J829" t="s">
        <v>304</v>
      </c>
      <c r="K829" t="s">
        <v>454</v>
      </c>
      <c r="L829" t="s">
        <v>305</v>
      </c>
      <c r="M829">
        <v>292539.96999999997</v>
      </c>
      <c r="P829">
        <v>0</v>
      </c>
      <c r="R829" s="154"/>
      <c r="S829" s="73">
        <f t="shared" si="88"/>
        <v>33378.810576999997</v>
      </c>
    </row>
    <row r="830" spans="1:19" ht="15">
      <c r="A830" s="161" t="s">
        <v>296</v>
      </c>
      <c r="B830" t="s">
        <v>430</v>
      </c>
      <c r="C830" t="s">
        <v>431</v>
      </c>
      <c r="D830" t="s">
        <v>420</v>
      </c>
      <c r="E830" t="s">
        <v>421</v>
      </c>
      <c r="F830" t="s">
        <v>301</v>
      </c>
      <c r="G830">
        <v>107501</v>
      </c>
      <c r="H830" t="s">
        <v>433</v>
      </c>
      <c r="I830">
        <v>221</v>
      </c>
      <c r="J830" t="s">
        <v>304</v>
      </c>
      <c r="K830" t="s">
        <v>455</v>
      </c>
      <c r="L830" t="s">
        <v>305</v>
      </c>
      <c r="M830">
        <v>131267.93</v>
      </c>
      <c r="P830">
        <v>0</v>
      </c>
      <c r="R830" s="154"/>
      <c r="S830" s="73">
        <f t="shared" si="88"/>
        <v>14977.670813000001</v>
      </c>
    </row>
    <row r="831" spans="1:19" ht="15">
      <c r="A831" s="161" t="s">
        <v>296</v>
      </c>
      <c r="B831" t="s">
        <v>430</v>
      </c>
      <c r="C831" t="s">
        <v>431</v>
      </c>
      <c r="D831" t="s">
        <v>420</v>
      </c>
      <c r="E831" t="s">
        <v>421</v>
      </c>
      <c r="F831" t="s">
        <v>301</v>
      </c>
      <c r="G831">
        <v>107501</v>
      </c>
      <c r="H831" t="s">
        <v>433</v>
      </c>
      <c r="I831">
        <v>221</v>
      </c>
      <c r="J831" t="s">
        <v>456</v>
      </c>
      <c r="K831" t="s">
        <v>457</v>
      </c>
      <c r="L831" t="s">
        <v>305</v>
      </c>
      <c r="M831">
        <v>62687.13</v>
      </c>
      <c r="P831">
        <v>0</v>
      </c>
      <c r="R831" s="154"/>
      <c r="S831" s="73">
        <f t="shared" si="88"/>
        <v>7152.601533</v>
      </c>
    </row>
    <row r="832" spans="1:19" ht="15">
      <c r="A832" s="161" t="s">
        <v>296</v>
      </c>
      <c r="B832" t="s">
        <v>430</v>
      </c>
      <c r="C832" t="s">
        <v>431</v>
      </c>
      <c r="D832" t="s">
        <v>420</v>
      </c>
      <c r="E832" t="s">
        <v>421</v>
      </c>
      <c r="F832" t="s">
        <v>301</v>
      </c>
      <c r="G832" s="213">
        <v>109001</v>
      </c>
      <c r="H832" t="s">
        <v>324</v>
      </c>
      <c r="I832">
        <v>221</v>
      </c>
      <c r="J832" t="s">
        <v>304</v>
      </c>
      <c r="K832" t="s">
        <v>434</v>
      </c>
      <c r="L832" t="s">
        <v>305</v>
      </c>
      <c r="M832">
        <v>4031.75</v>
      </c>
      <c r="P832">
        <v>0</v>
      </c>
      <c r="Q832" s="124">
        <f t="shared" ref="Q832:Q887" si="89">M832-P832</f>
        <v>4031.75</v>
      </c>
      <c r="R832" s="124">
        <f t="shared" ref="R832:R859" si="90">M832*-1.141</f>
        <v>-4600.2267499999998</v>
      </c>
    </row>
    <row r="833" spans="1:18" ht="15">
      <c r="A833" s="161" t="s">
        <v>296</v>
      </c>
      <c r="B833" t="s">
        <v>430</v>
      </c>
      <c r="C833" t="s">
        <v>431</v>
      </c>
      <c r="D833" t="s">
        <v>420</v>
      </c>
      <c r="E833" t="s">
        <v>421</v>
      </c>
      <c r="F833" t="s">
        <v>301</v>
      </c>
      <c r="G833" s="213">
        <v>109001</v>
      </c>
      <c r="H833" t="s">
        <v>324</v>
      </c>
      <c r="I833">
        <v>221</v>
      </c>
      <c r="J833" t="s">
        <v>304</v>
      </c>
      <c r="K833" t="s">
        <v>435</v>
      </c>
      <c r="L833" t="s">
        <v>305</v>
      </c>
      <c r="M833">
        <v>4775.83</v>
      </c>
      <c r="P833">
        <v>0</v>
      </c>
      <c r="Q833" s="124">
        <f t="shared" si="89"/>
        <v>4775.83</v>
      </c>
      <c r="R833" s="124">
        <f t="shared" si="90"/>
        <v>-5449.2220299999999</v>
      </c>
    </row>
    <row r="834" spans="1:18" ht="15">
      <c r="A834" s="161" t="s">
        <v>296</v>
      </c>
      <c r="B834" t="s">
        <v>430</v>
      </c>
      <c r="C834" t="s">
        <v>431</v>
      </c>
      <c r="D834" t="s">
        <v>420</v>
      </c>
      <c r="E834" t="s">
        <v>421</v>
      </c>
      <c r="F834" t="s">
        <v>301</v>
      </c>
      <c r="G834" s="213">
        <v>109001</v>
      </c>
      <c r="H834" t="s">
        <v>324</v>
      </c>
      <c r="I834">
        <v>221</v>
      </c>
      <c r="J834" t="s">
        <v>304</v>
      </c>
      <c r="K834" t="s">
        <v>432</v>
      </c>
      <c r="L834" t="s">
        <v>305</v>
      </c>
      <c r="M834">
        <v>291.33</v>
      </c>
      <c r="P834">
        <v>0</v>
      </c>
      <c r="Q834" s="124">
        <f t="shared" si="89"/>
        <v>291.33</v>
      </c>
      <c r="R834" s="124">
        <f t="shared" si="90"/>
        <v>-332.40753000000001</v>
      </c>
    </row>
    <row r="835" spans="1:18" ht="15">
      <c r="A835" s="161" t="s">
        <v>296</v>
      </c>
      <c r="B835" t="s">
        <v>430</v>
      </c>
      <c r="C835" t="s">
        <v>431</v>
      </c>
      <c r="D835" t="s">
        <v>420</v>
      </c>
      <c r="E835" t="s">
        <v>421</v>
      </c>
      <c r="F835" t="s">
        <v>301</v>
      </c>
      <c r="G835" s="213">
        <v>109001</v>
      </c>
      <c r="H835" t="s">
        <v>324</v>
      </c>
      <c r="I835">
        <v>221</v>
      </c>
      <c r="J835" t="s">
        <v>304</v>
      </c>
      <c r="K835" t="s">
        <v>436</v>
      </c>
      <c r="L835" t="s">
        <v>305</v>
      </c>
      <c r="M835">
        <v>2390.56</v>
      </c>
      <c r="P835">
        <v>0</v>
      </c>
      <c r="Q835" s="124">
        <f t="shared" si="89"/>
        <v>2390.56</v>
      </c>
      <c r="R835" s="124">
        <f t="shared" si="90"/>
        <v>-2727.62896</v>
      </c>
    </row>
    <row r="836" spans="1:18" ht="15">
      <c r="A836" s="161" t="s">
        <v>296</v>
      </c>
      <c r="B836" t="s">
        <v>430</v>
      </c>
      <c r="C836" t="s">
        <v>431</v>
      </c>
      <c r="D836" t="s">
        <v>420</v>
      </c>
      <c r="E836" t="s">
        <v>421</v>
      </c>
      <c r="F836" t="s">
        <v>301</v>
      </c>
      <c r="G836" s="213">
        <v>109001</v>
      </c>
      <c r="H836" t="s">
        <v>324</v>
      </c>
      <c r="I836">
        <v>221</v>
      </c>
      <c r="J836" t="s">
        <v>304</v>
      </c>
      <c r="K836" t="s">
        <v>437</v>
      </c>
      <c r="L836" t="s">
        <v>305</v>
      </c>
      <c r="M836">
        <v>24376.59</v>
      </c>
      <c r="P836">
        <v>0</v>
      </c>
      <c r="Q836" s="124">
        <f t="shared" si="89"/>
        <v>24376.59</v>
      </c>
      <c r="R836" s="124">
        <f t="shared" si="90"/>
        <v>-27813.689190000001</v>
      </c>
    </row>
    <row r="837" spans="1:18" ht="15">
      <c r="A837" s="161" t="s">
        <v>296</v>
      </c>
      <c r="B837" t="s">
        <v>430</v>
      </c>
      <c r="C837" t="s">
        <v>431</v>
      </c>
      <c r="D837" t="s">
        <v>420</v>
      </c>
      <c r="E837" t="s">
        <v>421</v>
      </c>
      <c r="F837" t="s">
        <v>301</v>
      </c>
      <c r="G837" s="213">
        <v>109001</v>
      </c>
      <c r="H837" t="s">
        <v>324</v>
      </c>
      <c r="I837">
        <v>221</v>
      </c>
      <c r="J837" t="s">
        <v>304</v>
      </c>
      <c r="K837" t="s">
        <v>402</v>
      </c>
      <c r="L837" t="s">
        <v>305</v>
      </c>
      <c r="M837">
        <v>26251.72</v>
      </c>
      <c r="P837">
        <v>0</v>
      </c>
      <c r="Q837" s="124">
        <f t="shared" si="89"/>
        <v>26251.72</v>
      </c>
      <c r="R837" s="124">
        <f t="shared" si="90"/>
        <v>-29953.212520000001</v>
      </c>
    </row>
    <row r="838" spans="1:18" ht="15">
      <c r="A838" s="161" t="s">
        <v>296</v>
      </c>
      <c r="B838" t="s">
        <v>430</v>
      </c>
      <c r="C838" t="s">
        <v>431</v>
      </c>
      <c r="D838" t="s">
        <v>420</v>
      </c>
      <c r="E838" t="s">
        <v>421</v>
      </c>
      <c r="F838" t="s">
        <v>301</v>
      </c>
      <c r="G838" s="213">
        <v>109001</v>
      </c>
      <c r="H838" t="s">
        <v>324</v>
      </c>
      <c r="I838">
        <v>221</v>
      </c>
      <c r="J838" t="s">
        <v>304</v>
      </c>
      <c r="K838" t="s">
        <v>438</v>
      </c>
      <c r="L838" t="s">
        <v>305</v>
      </c>
      <c r="M838">
        <v>20626.349999999999</v>
      </c>
      <c r="P838">
        <v>0</v>
      </c>
      <c r="Q838" s="124">
        <f t="shared" si="89"/>
        <v>20626.349999999999</v>
      </c>
      <c r="R838" s="124">
        <f t="shared" si="90"/>
        <v>-23534.665349999999</v>
      </c>
    </row>
    <row r="839" spans="1:18" ht="15">
      <c r="A839" s="161" t="s">
        <v>296</v>
      </c>
      <c r="B839" t="s">
        <v>430</v>
      </c>
      <c r="C839" t="s">
        <v>431</v>
      </c>
      <c r="D839" t="s">
        <v>420</v>
      </c>
      <c r="E839" t="s">
        <v>421</v>
      </c>
      <c r="F839" t="s">
        <v>301</v>
      </c>
      <c r="G839" s="213">
        <v>109001</v>
      </c>
      <c r="H839" t="s">
        <v>324</v>
      </c>
      <c r="I839">
        <v>221</v>
      </c>
      <c r="J839" t="s">
        <v>304</v>
      </c>
      <c r="K839" t="s">
        <v>439</v>
      </c>
      <c r="L839" t="s">
        <v>305</v>
      </c>
      <c r="M839">
        <v>18751.23</v>
      </c>
      <c r="P839">
        <v>0</v>
      </c>
      <c r="Q839" s="124">
        <f t="shared" si="89"/>
        <v>18751.23</v>
      </c>
      <c r="R839" s="124">
        <f t="shared" si="90"/>
        <v>-21395.153429999998</v>
      </c>
    </row>
    <row r="840" spans="1:18" ht="15">
      <c r="A840" s="161" t="s">
        <v>296</v>
      </c>
      <c r="B840" t="s">
        <v>430</v>
      </c>
      <c r="C840" t="s">
        <v>431</v>
      </c>
      <c r="D840" t="s">
        <v>420</v>
      </c>
      <c r="E840" t="s">
        <v>421</v>
      </c>
      <c r="F840" t="s">
        <v>301</v>
      </c>
      <c r="G840" s="213">
        <v>109001</v>
      </c>
      <c r="H840" t="s">
        <v>324</v>
      </c>
      <c r="I840">
        <v>221</v>
      </c>
      <c r="J840" t="s">
        <v>304</v>
      </c>
      <c r="K840" t="s">
        <v>440</v>
      </c>
      <c r="L840" t="s">
        <v>305</v>
      </c>
      <c r="M840">
        <v>16876.11</v>
      </c>
      <c r="P840">
        <v>0</v>
      </c>
      <c r="Q840" s="124">
        <f t="shared" si="89"/>
        <v>16876.11</v>
      </c>
      <c r="R840" s="124">
        <f t="shared" si="90"/>
        <v>-19255.641510000001</v>
      </c>
    </row>
    <row r="841" spans="1:18" ht="15">
      <c r="A841" s="161" t="s">
        <v>296</v>
      </c>
      <c r="B841" t="s">
        <v>430</v>
      </c>
      <c r="C841" t="s">
        <v>431</v>
      </c>
      <c r="D841" t="s">
        <v>420</v>
      </c>
      <c r="E841" t="s">
        <v>421</v>
      </c>
      <c r="F841" t="s">
        <v>301</v>
      </c>
      <c r="G841" s="213">
        <v>109001</v>
      </c>
      <c r="H841" t="s">
        <v>324</v>
      </c>
      <c r="I841">
        <v>221</v>
      </c>
      <c r="J841" t="s">
        <v>304</v>
      </c>
      <c r="K841" t="s">
        <v>441</v>
      </c>
      <c r="L841" t="s">
        <v>305</v>
      </c>
      <c r="M841">
        <v>26251.54</v>
      </c>
      <c r="P841">
        <v>0</v>
      </c>
      <c r="Q841" s="124">
        <f t="shared" si="89"/>
        <v>26251.54</v>
      </c>
      <c r="R841" s="124">
        <f t="shared" si="90"/>
        <v>-29953.007140000002</v>
      </c>
    </row>
    <row r="842" spans="1:18" ht="15">
      <c r="A842" s="161" t="s">
        <v>296</v>
      </c>
      <c r="B842" t="s">
        <v>430</v>
      </c>
      <c r="C842" t="s">
        <v>431</v>
      </c>
      <c r="D842" t="s">
        <v>420</v>
      </c>
      <c r="E842" t="s">
        <v>421</v>
      </c>
      <c r="F842" t="s">
        <v>301</v>
      </c>
      <c r="G842" s="213">
        <v>109001</v>
      </c>
      <c r="H842" t="s">
        <v>324</v>
      </c>
      <c r="I842">
        <v>221</v>
      </c>
      <c r="J842" t="s">
        <v>304</v>
      </c>
      <c r="K842" t="s">
        <v>442</v>
      </c>
      <c r="L842" t="s">
        <v>305</v>
      </c>
      <c r="M842">
        <v>2565.09</v>
      </c>
      <c r="P842">
        <v>0</v>
      </c>
      <c r="Q842" s="124">
        <f t="shared" si="89"/>
        <v>2565.09</v>
      </c>
      <c r="R842" s="124">
        <f t="shared" si="90"/>
        <v>-2926.7676900000001</v>
      </c>
    </row>
    <row r="843" spans="1:18" ht="15">
      <c r="A843" s="161" t="s">
        <v>296</v>
      </c>
      <c r="B843" t="s">
        <v>430</v>
      </c>
      <c r="C843" t="s">
        <v>431</v>
      </c>
      <c r="D843" t="s">
        <v>420</v>
      </c>
      <c r="E843" t="s">
        <v>421</v>
      </c>
      <c r="F843" t="s">
        <v>301</v>
      </c>
      <c r="G843" s="213">
        <v>109001</v>
      </c>
      <c r="H843" t="s">
        <v>324</v>
      </c>
      <c r="I843">
        <v>221</v>
      </c>
      <c r="J843" t="s">
        <v>304</v>
      </c>
      <c r="K843" t="s">
        <v>443</v>
      </c>
      <c r="L843" t="s">
        <v>305</v>
      </c>
      <c r="M843">
        <v>24376.59</v>
      </c>
      <c r="P843">
        <v>0</v>
      </c>
      <c r="Q843" s="124">
        <f t="shared" si="89"/>
        <v>24376.59</v>
      </c>
      <c r="R843" s="124">
        <f t="shared" si="90"/>
        <v>-27813.689190000001</v>
      </c>
    </row>
    <row r="844" spans="1:18" ht="15">
      <c r="A844" s="161" t="s">
        <v>296</v>
      </c>
      <c r="B844" t="s">
        <v>430</v>
      </c>
      <c r="C844" t="s">
        <v>431</v>
      </c>
      <c r="D844" t="s">
        <v>420</v>
      </c>
      <c r="E844" t="s">
        <v>421</v>
      </c>
      <c r="F844" t="s">
        <v>301</v>
      </c>
      <c r="G844" s="213">
        <v>109001</v>
      </c>
      <c r="H844" t="s">
        <v>324</v>
      </c>
      <c r="I844">
        <v>221</v>
      </c>
      <c r="J844" t="s">
        <v>304</v>
      </c>
      <c r="K844" t="s">
        <v>444</v>
      </c>
      <c r="L844" t="s">
        <v>305</v>
      </c>
      <c r="M844">
        <v>18751.23</v>
      </c>
      <c r="P844">
        <v>0</v>
      </c>
      <c r="Q844" s="124">
        <f t="shared" si="89"/>
        <v>18751.23</v>
      </c>
      <c r="R844" s="124">
        <f t="shared" si="90"/>
        <v>-21395.153429999998</v>
      </c>
    </row>
    <row r="845" spans="1:18" ht="15">
      <c r="A845" s="161" t="s">
        <v>296</v>
      </c>
      <c r="B845" t="s">
        <v>430</v>
      </c>
      <c r="C845" t="s">
        <v>431</v>
      </c>
      <c r="D845" t="s">
        <v>420</v>
      </c>
      <c r="E845" t="s">
        <v>421</v>
      </c>
      <c r="F845" t="s">
        <v>301</v>
      </c>
      <c r="G845" s="213">
        <v>109001</v>
      </c>
      <c r="H845" t="s">
        <v>324</v>
      </c>
      <c r="I845">
        <v>221</v>
      </c>
      <c r="J845" t="s">
        <v>304</v>
      </c>
      <c r="K845" t="s">
        <v>403</v>
      </c>
      <c r="L845" t="s">
        <v>305</v>
      </c>
      <c r="M845">
        <v>18751.23</v>
      </c>
      <c r="P845">
        <v>0</v>
      </c>
      <c r="Q845" s="124">
        <f t="shared" si="89"/>
        <v>18751.23</v>
      </c>
      <c r="R845" s="124">
        <f t="shared" si="90"/>
        <v>-21395.153429999998</v>
      </c>
    </row>
    <row r="846" spans="1:18" ht="15">
      <c r="A846" s="161" t="s">
        <v>296</v>
      </c>
      <c r="B846" t="s">
        <v>430</v>
      </c>
      <c r="C846" t="s">
        <v>431</v>
      </c>
      <c r="D846" t="s">
        <v>420</v>
      </c>
      <c r="E846" t="s">
        <v>421</v>
      </c>
      <c r="F846" t="s">
        <v>301</v>
      </c>
      <c r="G846" s="213">
        <v>109001</v>
      </c>
      <c r="H846" t="s">
        <v>324</v>
      </c>
      <c r="I846">
        <v>221</v>
      </c>
      <c r="J846" t="s">
        <v>304</v>
      </c>
      <c r="K846" t="s">
        <v>404</v>
      </c>
      <c r="L846" t="s">
        <v>305</v>
      </c>
      <c r="M846">
        <v>22501.47</v>
      </c>
      <c r="P846">
        <v>0</v>
      </c>
      <c r="Q846" s="124">
        <f t="shared" si="89"/>
        <v>22501.47</v>
      </c>
      <c r="R846" s="124">
        <f t="shared" si="90"/>
        <v>-25674.17727</v>
      </c>
    </row>
    <row r="847" spans="1:18" ht="15">
      <c r="A847" s="161" t="s">
        <v>296</v>
      </c>
      <c r="B847" t="s">
        <v>430</v>
      </c>
      <c r="C847" t="s">
        <v>431</v>
      </c>
      <c r="D847" t="s">
        <v>420</v>
      </c>
      <c r="E847" t="s">
        <v>421</v>
      </c>
      <c r="F847" t="s">
        <v>301</v>
      </c>
      <c r="G847" s="213">
        <v>109001</v>
      </c>
      <c r="H847" t="s">
        <v>324</v>
      </c>
      <c r="I847">
        <v>221</v>
      </c>
      <c r="J847" t="s">
        <v>304</v>
      </c>
      <c r="K847" t="s">
        <v>445</v>
      </c>
      <c r="L847" t="s">
        <v>305</v>
      </c>
      <c r="M847">
        <v>39377.58</v>
      </c>
      <c r="P847">
        <v>0</v>
      </c>
      <c r="Q847" s="124">
        <f t="shared" si="89"/>
        <v>39377.58</v>
      </c>
      <c r="R847" s="124">
        <f t="shared" si="90"/>
        <v>-44929.818780000001</v>
      </c>
    </row>
    <row r="848" spans="1:18" ht="15">
      <c r="A848" s="161" t="s">
        <v>296</v>
      </c>
      <c r="B848" t="s">
        <v>430</v>
      </c>
      <c r="C848" t="s">
        <v>431</v>
      </c>
      <c r="D848" t="s">
        <v>420</v>
      </c>
      <c r="E848" t="s">
        <v>421</v>
      </c>
      <c r="F848" t="s">
        <v>301</v>
      </c>
      <c r="G848" s="213">
        <v>109001</v>
      </c>
      <c r="H848" t="s">
        <v>324</v>
      </c>
      <c r="I848">
        <v>221</v>
      </c>
      <c r="J848" t="s">
        <v>304</v>
      </c>
      <c r="K848" t="s">
        <v>446</v>
      </c>
      <c r="L848" t="s">
        <v>305</v>
      </c>
      <c r="M848">
        <v>19424.740000000002</v>
      </c>
      <c r="P848">
        <v>0</v>
      </c>
      <c r="Q848" s="124">
        <f t="shared" si="89"/>
        <v>19424.740000000002</v>
      </c>
      <c r="R848" s="124">
        <f t="shared" si="90"/>
        <v>-22163.628340000003</v>
      </c>
    </row>
    <row r="849" spans="1:18" ht="15">
      <c r="A849" s="161" t="s">
        <v>296</v>
      </c>
      <c r="B849" t="s">
        <v>430</v>
      </c>
      <c r="C849" t="s">
        <v>431</v>
      </c>
      <c r="D849" t="s">
        <v>420</v>
      </c>
      <c r="E849" t="s">
        <v>421</v>
      </c>
      <c r="F849" t="s">
        <v>301</v>
      </c>
      <c r="G849" s="213">
        <v>109001</v>
      </c>
      <c r="H849" t="s">
        <v>324</v>
      </c>
      <c r="I849">
        <v>221</v>
      </c>
      <c r="J849" t="s">
        <v>304</v>
      </c>
      <c r="K849" t="s">
        <v>447</v>
      </c>
      <c r="L849" t="s">
        <v>305</v>
      </c>
      <c r="M849">
        <v>33752.199999999997</v>
      </c>
      <c r="P849">
        <v>0</v>
      </c>
      <c r="Q849" s="124">
        <f t="shared" si="89"/>
        <v>33752.199999999997</v>
      </c>
      <c r="R849" s="124">
        <f t="shared" si="90"/>
        <v>-38511.260199999997</v>
      </c>
    </row>
    <row r="850" spans="1:18" ht="15">
      <c r="A850" s="161" t="s">
        <v>296</v>
      </c>
      <c r="B850" t="s">
        <v>430</v>
      </c>
      <c r="C850" t="s">
        <v>431</v>
      </c>
      <c r="D850" t="s">
        <v>420</v>
      </c>
      <c r="E850" t="s">
        <v>421</v>
      </c>
      <c r="F850" t="s">
        <v>301</v>
      </c>
      <c r="G850" s="213">
        <v>109001</v>
      </c>
      <c r="H850" t="s">
        <v>324</v>
      </c>
      <c r="I850">
        <v>221</v>
      </c>
      <c r="J850" t="s">
        <v>304</v>
      </c>
      <c r="K850" t="s">
        <v>448</v>
      </c>
      <c r="L850" t="s">
        <v>305</v>
      </c>
      <c r="M850">
        <v>13125.86</v>
      </c>
      <c r="P850">
        <v>0</v>
      </c>
      <c r="Q850" s="124">
        <f t="shared" si="89"/>
        <v>13125.86</v>
      </c>
      <c r="R850" s="124">
        <f t="shared" si="90"/>
        <v>-14976.60626</v>
      </c>
    </row>
    <row r="851" spans="1:18" ht="15">
      <c r="A851" s="161" t="s">
        <v>296</v>
      </c>
      <c r="B851" t="s">
        <v>430</v>
      </c>
      <c r="C851" t="s">
        <v>431</v>
      </c>
      <c r="D851" t="s">
        <v>420</v>
      </c>
      <c r="E851" t="s">
        <v>421</v>
      </c>
      <c r="F851" t="s">
        <v>301</v>
      </c>
      <c r="G851" s="213">
        <v>109001</v>
      </c>
      <c r="H851" t="s">
        <v>324</v>
      </c>
      <c r="I851">
        <v>221</v>
      </c>
      <c r="J851" t="s">
        <v>304</v>
      </c>
      <c r="K851" t="s">
        <v>449</v>
      </c>
      <c r="L851" t="s">
        <v>305</v>
      </c>
      <c r="M851">
        <v>15000.98</v>
      </c>
      <c r="P851">
        <v>0</v>
      </c>
      <c r="Q851" s="124">
        <f t="shared" si="89"/>
        <v>15000.98</v>
      </c>
      <c r="R851" s="124">
        <f t="shared" si="90"/>
        <v>-17116.118180000001</v>
      </c>
    </row>
    <row r="852" spans="1:18" ht="15">
      <c r="A852" s="161" t="s">
        <v>296</v>
      </c>
      <c r="B852" t="s">
        <v>430</v>
      </c>
      <c r="C852" t="s">
        <v>431</v>
      </c>
      <c r="D852" t="s">
        <v>420</v>
      </c>
      <c r="E852" t="s">
        <v>421</v>
      </c>
      <c r="F852" t="s">
        <v>301</v>
      </c>
      <c r="G852" s="213">
        <v>109001</v>
      </c>
      <c r="H852" t="s">
        <v>324</v>
      </c>
      <c r="I852">
        <v>221</v>
      </c>
      <c r="J852" t="s">
        <v>304</v>
      </c>
      <c r="K852" t="s">
        <v>450</v>
      </c>
      <c r="L852" t="s">
        <v>305</v>
      </c>
      <c r="M852">
        <v>19876.3</v>
      </c>
      <c r="P852">
        <v>0</v>
      </c>
      <c r="Q852" s="124">
        <f t="shared" si="89"/>
        <v>19876.3</v>
      </c>
      <c r="R852" s="124">
        <f t="shared" si="90"/>
        <v>-22678.8583</v>
      </c>
    </row>
    <row r="853" spans="1:18" ht="15">
      <c r="A853" s="161" t="s">
        <v>296</v>
      </c>
      <c r="B853" t="s">
        <v>430</v>
      </c>
      <c r="C853" t="s">
        <v>431</v>
      </c>
      <c r="D853" t="s">
        <v>420</v>
      </c>
      <c r="E853" t="s">
        <v>421</v>
      </c>
      <c r="F853" t="s">
        <v>301</v>
      </c>
      <c r="G853" s="213">
        <v>109001</v>
      </c>
      <c r="H853" t="s">
        <v>324</v>
      </c>
      <c r="I853">
        <v>221</v>
      </c>
      <c r="J853" t="s">
        <v>304</v>
      </c>
      <c r="K853" t="s">
        <v>451</v>
      </c>
      <c r="L853" t="s">
        <v>305</v>
      </c>
      <c r="M853">
        <v>16126.06</v>
      </c>
      <c r="P853">
        <v>0</v>
      </c>
      <c r="Q853" s="124">
        <f t="shared" si="89"/>
        <v>16126.06</v>
      </c>
      <c r="R853" s="124">
        <f t="shared" si="90"/>
        <v>-18399.834459999998</v>
      </c>
    </row>
    <row r="854" spans="1:18" ht="15">
      <c r="A854" s="161" t="s">
        <v>296</v>
      </c>
      <c r="B854" t="s">
        <v>430</v>
      </c>
      <c r="C854" t="s">
        <v>431</v>
      </c>
      <c r="D854" t="s">
        <v>420</v>
      </c>
      <c r="E854" t="s">
        <v>421</v>
      </c>
      <c r="F854" t="s">
        <v>301</v>
      </c>
      <c r="G854" s="213">
        <v>109001</v>
      </c>
      <c r="H854" t="s">
        <v>324</v>
      </c>
      <c r="I854">
        <v>221</v>
      </c>
      <c r="J854" t="s">
        <v>304</v>
      </c>
      <c r="K854" t="s">
        <v>452</v>
      </c>
      <c r="L854" t="s">
        <v>305</v>
      </c>
      <c r="M854">
        <v>39568.910000000003</v>
      </c>
      <c r="P854">
        <v>0</v>
      </c>
      <c r="Q854" s="124">
        <f t="shared" si="89"/>
        <v>39568.910000000003</v>
      </c>
      <c r="R854" s="124">
        <f t="shared" si="90"/>
        <v>-45148.126310000007</v>
      </c>
    </row>
    <row r="855" spans="1:18" ht="15">
      <c r="A855" s="161" t="s">
        <v>296</v>
      </c>
      <c r="B855" t="s">
        <v>430</v>
      </c>
      <c r="C855" t="s">
        <v>431</v>
      </c>
      <c r="D855" t="s">
        <v>420</v>
      </c>
      <c r="E855" t="s">
        <v>421</v>
      </c>
      <c r="F855" t="s">
        <v>301</v>
      </c>
      <c r="G855" s="213">
        <v>109001</v>
      </c>
      <c r="H855" t="s">
        <v>324</v>
      </c>
      <c r="I855">
        <v>221</v>
      </c>
      <c r="J855" t="s">
        <v>304</v>
      </c>
      <c r="K855" t="s">
        <v>453</v>
      </c>
      <c r="L855" t="s">
        <v>305</v>
      </c>
      <c r="M855">
        <v>21751.42</v>
      </c>
      <c r="P855">
        <v>0</v>
      </c>
      <c r="Q855" s="124">
        <f t="shared" si="89"/>
        <v>21751.42</v>
      </c>
      <c r="R855" s="124">
        <f t="shared" si="90"/>
        <v>-24818.370219999997</v>
      </c>
    </row>
    <row r="856" spans="1:18" ht="15">
      <c r="A856" s="161" t="s">
        <v>296</v>
      </c>
      <c r="B856" t="s">
        <v>430</v>
      </c>
      <c r="C856" t="s">
        <v>431</v>
      </c>
      <c r="D856" t="s">
        <v>420</v>
      </c>
      <c r="E856" t="s">
        <v>421</v>
      </c>
      <c r="F856" t="s">
        <v>301</v>
      </c>
      <c r="G856" s="213">
        <v>109001</v>
      </c>
      <c r="H856" t="s">
        <v>324</v>
      </c>
      <c r="I856">
        <v>221</v>
      </c>
      <c r="J856" t="s">
        <v>304</v>
      </c>
      <c r="K856" t="s">
        <v>417</v>
      </c>
      <c r="L856" t="s">
        <v>305</v>
      </c>
      <c r="M856">
        <v>26978.81</v>
      </c>
      <c r="P856">
        <v>0</v>
      </c>
      <c r="Q856" s="124">
        <f t="shared" si="89"/>
        <v>26978.81</v>
      </c>
      <c r="R856" s="124">
        <f t="shared" si="90"/>
        <v>-30782.822210000002</v>
      </c>
    </row>
    <row r="857" spans="1:18" ht="15">
      <c r="A857" s="161" t="s">
        <v>296</v>
      </c>
      <c r="B857" t="s">
        <v>430</v>
      </c>
      <c r="C857" t="s">
        <v>431</v>
      </c>
      <c r="D857" t="s">
        <v>420</v>
      </c>
      <c r="E857" t="s">
        <v>421</v>
      </c>
      <c r="F857" t="s">
        <v>301</v>
      </c>
      <c r="G857" s="213">
        <v>109001</v>
      </c>
      <c r="H857" t="s">
        <v>324</v>
      </c>
      <c r="I857">
        <v>221</v>
      </c>
      <c r="J857" t="s">
        <v>304</v>
      </c>
      <c r="K857" t="s">
        <v>454</v>
      </c>
      <c r="L857" t="s">
        <v>305</v>
      </c>
      <c r="M857">
        <v>29251.91</v>
      </c>
      <c r="P857">
        <v>0</v>
      </c>
      <c r="Q857" s="124">
        <f t="shared" si="89"/>
        <v>29251.91</v>
      </c>
      <c r="R857" s="124">
        <f t="shared" si="90"/>
        <v>-33376.42931</v>
      </c>
    </row>
    <row r="858" spans="1:18" ht="15">
      <c r="A858" s="161" t="s">
        <v>296</v>
      </c>
      <c r="B858" t="s">
        <v>430</v>
      </c>
      <c r="C858" t="s">
        <v>431</v>
      </c>
      <c r="D858" t="s">
        <v>420</v>
      </c>
      <c r="E858" t="s">
        <v>421</v>
      </c>
      <c r="F858" t="s">
        <v>301</v>
      </c>
      <c r="G858" s="213">
        <v>109001</v>
      </c>
      <c r="H858" t="s">
        <v>324</v>
      </c>
      <c r="I858">
        <v>221</v>
      </c>
      <c r="J858" t="s">
        <v>304</v>
      </c>
      <c r="K858" t="s">
        <v>455</v>
      </c>
      <c r="L858" t="s">
        <v>305</v>
      </c>
      <c r="M858">
        <v>13125.86</v>
      </c>
      <c r="P858">
        <v>0</v>
      </c>
      <c r="Q858" s="124">
        <f t="shared" si="89"/>
        <v>13125.86</v>
      </c>
      <c r="R858" s="124">
        <f t="shared" si="90"/>
        <v>-14976.60626</v>
      </c>
    </row>
    <row r="859" spans="1:18" ht="15">
      <c r="A859" s="161" t="s">
        <v>296</v>
      </c>
      <c r="B859" t="s">
        <v>430</v>
      </c>
      <c r="C859" t="s">
        <v>431</v>
      </c>
      <c r="D859" t="s">
        <v>420</v>
      </c>
      <c r="E859" t="s">
        <v>421</v>
      </c>
      <c r="F859" t="s">
        <v>301</v>
      </c>
      <c r="G859" s="213">
        <v>109001</v>
      </c>
      <c r="H859" t="s">
        <v>324</v>
      </c>
      <c r="I859">
        <v>221</v>
      </c>
      <c r="J859" t="s">
        <v>456</v>
      </c>
      <c r="K859" t="s">
        <v>457</v>
      </c>
      <c r="L859" t="s">
        <v>305</v>
      </c>
      <c r="M859">
        <v>6268.27</v>
      </c>
      <c r="P859">
        <v>0</v>
      </c>
      <c r="Q859" s="124">
        <f t="shared" si="89"/>
        <v>6268.27</v>
      </c>
      <c r="R859" s="124">
        <f t="shared" si="90"/>
        <v>-7152.0960700000005</v>
      </c>
    </row>
    <row r="860" spans="1:18" ht="15">
      <c r="A860" s="161" t="s">
        <v>296</v>
      </c>
      <c r="B860" t="s">
        <v>430</v>
      </c>
      <c r="C860" t="s">
        <v>431</v>
      </c>
      <c r="D860" t="s">
        <v>420</v>
      </c>
      <c r="E860" t="s">
        <v>421</v>
      </c>
      <c r="F860" t="s">
        <v>301</v>
      </c>
      <c r="G860" s="213">
        <v>109901</v>
      </c>
      <c r="H860" t="s">
        <v>309</v>
      </c>
      <c r="I860">
        <v>221</v>
      </c>
      <c r="J860" t="s">
        <v>304</v>
      </c>
      <c r="K860" t="s">
        <v>434</v>
      </c>
      <c r="L860" t="s">
        <v>305</v>
      </c>
      <c r="M860">
        <v>6416.47</v>
      </c>
      <c r="P860">
        <v>0</v>
      </c>
      <c r="Q860" s="124">
        <f t="shared" si="89"/>
        <v>6416.47</v>
      </c>
      <c r="R860" s="154"/>
    </row>
    <row r="861" spans="1:18" ht="15">
      <c r="A861" s="161" t="s">
        <v>296</v>
      </c>
      <c r="B861" t="s">
        <v>430</v>
      </c>
      <c r="C861" t="s">
        <v>431</v>
      </c>
      <c r="D861" t="s">
        <v>420</v>
      </c>
      <c r="E861" t="s">
        <v>421</v>
      </c>
      <c r="F861" t="s">
        <v>301</v>
      </c>
      <c r="G861" s="213">
        <v>109901</v>
      </c>
      <c r="H861" t="s">
        <v>309</v>
      </c>
      <c r="I861">
        <v>221</v>
      </c>
      <c r="J861" t="s">
        <v>304</v>
      </c>
      <c r="K861" t="s">
        <v>435</v>
      </c>
      <c r="L861" t="s">
        <v>305</v>
      </c>
      <c r="M861">
        <v>7600.65</v>
      </c>
      <c r="P861">
        <v>0</v>
      </c>
      <c r="Q861" s="124">
        <f t="shared" si="89"/>
        <v>7600.65</v>
      </c>
      <c r="R861" s="154"/>
    </row>
    <row r="862" spans="1:18" ht="15">
      <c r="A862" s="161" t="s">
        <v>296</v>
      </c>
      <c r="B862" t="s">
        <v>430</v>
      </c>
      <c r="C862" t="s">
        <v>431</v>
      </c>
      <c r="D862" t="s">
        <v>420</v>
      </c>
      <c r="E862" t="s">
        <v>421</v>
      </c>
      <c r="F862" t="s">
        <v>301</v>
      </c>
      <c r="G862" s="213">
        <v>109901</v>
      </c>
      <c r="H862" t="s">
        <v>309</v>
      </c>
      <c r="I862">
        <v>221</v>
      </c>
      <c r="J862" t="s">
        <v>304</v>
      </c>
      <c r="K862" t="s">
        <v>432</v>
      </c>
      <c r="L862" t="s">
        <v>305</v>
      </c>
      <c r="M862">
        <v>463.64</v>
      </c>
      <c r="P862">
        <v>0</v>
      </c>
      <c r="Q862" s="124">
        <f t="shared" si="89"/>
        <v>463.64</v>
      </c>
      <c r="R862" s="154"/>
    </row>
    <row r="863" spans="1:18" ht="15">
      <c r="A863" s="161" t="s">
        <v>296</v>
      </c>
      <c r="B863" t="s">
        <v>430</v>
      </c>
      <c r="C863" t="s">
        <v>431</v>
      </c>
      <c r="D863" t="s">
        <v>420</v>
      </c>
      <c r="E863" t="s">
        <v>421</v>
      </c>
      <c r="F863" t="s">
        <v>301</v>
      </c>
      <c r="G863" s="213">
        <v>109901</v>
      </c>
      <c r="H863" t="s">
        <v>309</v>
      </c>
      <c r="I863">
        <v>221</v>
      </c>
      <c r="J863" t="s">
        <v>304</v>
      </c>
      <c r="K863" t="s">
        <v>436</v>
      </c>
      <c r="L863" t="s">
        <v>305</v>
      </c>
      <c r="M863">
        <v>3809.73</v>
      </c>
      <c r="P863">
        <v>0</v>
      </c>
      <c r="Q863" s="124">
        <f t="shared" si="89"/>
        <v>3809.73</v>
      </c>
      <c r="R863" s="154"/>
    </row>
    <row r="864" spans="1:18" ht="15">
      <c r="A864" s="161" t="s">
        <v>296</v>
      </c>
      <c r="B864" t="s">
        <v>430</v>
      </c>
      <c r="C864" t="s">
        <v>431</v>
      </c>
      <c r="D864" t="s">
        <v>420</v>
      </c>
      <c r="E864" t="s">
        <v>421</v>
      </c>
      <c r="F864" t="s">
        <v>301</v>
      </c>
      <c r="G864" s="213">
        <v>109901</v>
      </c>
      <c r="H864" t="s">
        <v>309</v>
      </c>
      <c r="I864">
        <v>221</v>
      </c>
      <c r="J864" t="s">
        <v>304</v>
      </c>
      <c r="K864" t="s">
        <v>437</v>
      </c>
      <c r="L864" t="s">
        <v>305</v>
      </c>
      <c r="M864">
        <v>38795</v>
      </c>
      <c r="P864">
        <v>0</v>
      </c>
      <c r="Q864" s="124">
        <f t="shared" si="89"/>
        <v>38795</v>
      </c>
      <c r="R864" s="154"/>
    </row>
    <row r="865" spans="1:18" ht="15">
      <c r="A865" s="161" t="s">
        <v>296</v>
      </c>
      <c r="B865" t="s">
        <v>430</v>
      </c>
      <c r="C865" t="s">
        <v>431</v>
      </c>
      <c r="D865" t="s">
        <v>420</v>
      </c>
      <c r="E865" t="s">
        <v>421</v>
      </c>
      <c r="F865" t="s">
        <v>301</v>
      </c>
      <c r="G865" s="213">
        <v>109901</v>
      </c>
      <c r="H865" t="s">
        <v>309</v>
      </c>
      <c r="I865">
        <v>221</v>
      </c>
      <c r="J865" t="s">
        <v>304</v>
      </c>
      <c r="K865" t="s">
        <v>402</v>
      </c>
      <c r="L865" t="s">
        <v>305</v>
      </c>
      <c r="M865">
        <v>41779.230000000003</v>
      </c>
      <c r="P865">
        <v>0</v>
      </c>
      <c r="Q865" s="124">
        <f t="shared" si="89"/>
        <v>41779.230000000003</v>
      </c>
      <c r="R865" s="154"/>
    </row>
    <row r="866" spans="1:18" ht="15">
      <c r="A866" s="161" t="s">
        <v>296</v>
      </c>
      <c r="B866" t="s">
        <v>430</v>
      </c>
      <c r="C866" t="s">
        <v>431</v>
      </c>
      <c r="D866" t="s">
        <v>420</v>
      </c>
      <c r="E866" t="s">
        <v>421</v>
      </c>
      <c r="F866" t="s">
        <v>301</v>
      </c>
      <c r="G866" s="213">
        <v>109901</v>
      </c>
      <c r="H866" t="s">
        <v>309</v>
      </c>
      <c r="I866">
        <v>221</v>
      </c>
      <c r="J866" t="s">
        <v>304</v>
      </c>
      <c r="K866" t="s">
        <v>438</v>
      </c>
      <c r="L866" t="s">
        <v>305</v>
      </c>
      <c r="M866">
        <v>32826.54</v>
      </c>
      <c r="P866">
        <v>0</v>
      </c>
      <c r="Q866" s="124">
        <f t="shared" si="89"/>
        <v>32826.54</v>
      </c>
      <c r="R866" s="154"/>
    </row>
    <row r="867" spans="1:18" ht="15">
      <c r="A867" s="161" t="s">
        <v>296</v>
      </c>
      <c r="B867" t="s">
        <v>430</v>
      </c>
      <c r="C867" t="s">
        <v>431</v>
      </c>
      <c r="D867" t="s">
        <v>420</v>
      </c>
      <c r="E867" t="s">
        <v>421</v>
      </c>
      <c r="F867" t="s">
        <v>301</v>
      </c>
      <c r="G867" s="213">
        <v>109901</v>
      </c>
      <c r="H867" t="s">
        <v>309</v>
      </c>
      <c r="I867">
        <v>221</v>
      </c>
      <c r="J867" t="s">
        <v>304</v>
      </c>
      <c r="K867" t="s">
        <v>439</v>
      </c>
      <c r="L867" t="s">
        <v>305</v>
      </c>
      <c r="M867">
        <v>29842.3</v>
      </c>
      <c r="P867">
        <v>0</v>
      </c>
      <c r="Q867" s="124">
        <f t="shared" si="89"/>
        <v>29842.3</v>
      </c>
      <c r="R867" s="154"/>
    </row>
    <row r="868" spans="1:18" ht="15">
      <c r="A868" s="161" t="s">
        <v>296</v>
      </c>
      <c r="B868" t="s">
        <v>430</v>
      </c>
      <c r="C868" t="s">
        <v>431</v>
      </c>
      <c r="D868" t="s">
        <v>420</v>
      </c>
      <c r="E868" t="s">
        <v>421</v>
      </c>
      <c r="F868" t="s">
        <v>301</v>
      </c>
      <c r="G868" s="213">
        <v>109901</v>
      </c>
      <c r="H868" t="s">
        <v>309</v>
      </c>
      <c r="I868">
        <v>221</v>
      </c>
      <c r="J868" t="s">
        <v>304</v>
      </c>
      <c r="K868" t="s">
        <v>440</v>
      </c>
      <c r="L868" t="s">
        <v>305</v>
      </c>
      <c r="M868">
        <v>26858.07</v>
      </c>
      <c r="P868">
        <v>0</v>
      </c>
      <c r="Q868" s="124">
        <f t="shared" si="89"/>
        <v>26858.07</v>
      </c>
      <c r="R868" s="154"/>
    </row>
    <row r="869" spans="1:18" ht="15">
      <c r="A869" s="161" t="s">
        <v>296</v>
      </c>
      <c r="B869" t="s">
        <v>430</v>
      </c>
      <c r="C869" t="s">
        <v>431</v>
      </c>
      <c r="D869" t="s">
        <v>420</v>
      </c>
      <c r="E869" t="s">
        <v>421</v>
      </c>
      <c r="F869" t="s">
        <v>301</v>
      </c>
      <c r="G869" s="213">
        <v>109901</v>
      </c>
      <c r="H869" t="s">
        <v>309</v>
      </c>
      <c r="I869">
        <v>221</v>
      </c>
      <c r="J869" t="s">
        <v>304</v>
      </c>
      <c r="K869" t="s">
        <v>441</v>
      </c>
      <c r="L869" t="s">
        <v>305</v>
      </c>
      <c r="M869">
        <v>41779.269999999997</v>
      </c>
      <c r="P869">
        <v>0</v>
      </c>
      <c r="Q869" s="124">
        <f t="shared" si="89"/>
        <v>41779.269999999997</v>
      </c>
      <c r="R869" s="154"/>
    </row>
    <row r="870" spans="1:18" ht="15">
      <c r="A870" s="161" t="s">
        <v>296</v>
      </c>
      <c r="B870" t="s">
        <v>430</v>
      </c>
      <c r="C870" t="s">
        <v>431</v>
      </c>
      <c r="D870" t="s">
        <v>420</v>
      </c>
      <c r="E870" t="s">
        <v>421</v>
      </c>
      <c r="F870" t="s">
        <v>301</v>
      </c>
      <c r="G870" s="213">
        <v>109901</v>
      </c>
      <c r="H870" t="s">
        <v>309</v>
      </c>
      <c r="I870">
        <v>221</v>
      </c>
      <c r="J870" t="s">
        <v>304</v>
      </c>
      <c r="K870" t="s">
        <v>442</v>
      </c>
      <c r="L870" t="s">
        <v>305</v>
      </c>
      <c r="M870">
        <v>3942.82</v>
      </c>
      <c r="P870">
        <v>0</v>
      </c>
      <c r="Q870" s="124">
        <f t="shared" si="89"/>
        <v>3942.82</v>
      </c>
      <c r="R870" s="154"/>
    </row>
    <row r="871" spans="1:18" ht="15">
      <c r="A871" s="161" t="s">
        <v>296</v>
      </c>
      <c r="B871" t="s">
        <v>430</v>
      </c>
      <c r="C871" t="s">
        <v>431</v>
      </c>
      <c r="D871" t="s">
        <v>420</v>
      </c>
      <c r="E871" t="s">
        <v>421</v>
      </c>
      <c r="F871" t="s">
        <v>301</v>
      </c>
      <c r="G871" s="213">
        <v>109901</v>
      </c>
      <c r="H871" t="s">
        <v>309</v>
      </c>
      <c r="I871">
        <v>221</v>
      </c>
      <c r="J871" t="s">
        <v>304</v>
      </c>
      <c r="K871" t="s">
        <v>443</v>
      </c>
      <c r="L871" t="s">
        <v>305</v>
      </c>
      <c r="M871">
        <v>38795</v>
      </c>
      <c r="P871">
        <v>0</v>
      </c>
      <c r="Q871" s="124">
        <f t="shared" si="89"/>
        <v>38795</v>
      </c>
      <c r="R871" s="154"/>
    </row>
    <row r="872" spans="1:18" ht="15">
      <c r="A872" s="161" t="s">
        <v>296</v>
      </c>
      <c r="B872" t="s">
        <v>430</v>
      </c>
      <c r="C872" t="s">
        <v>431</v>
      </c>
      <c r="D872" t="s">
        <v>420</v>
      </c>
      <c r="E872" t="s">
        <v>421</v>
      </c>
      <c r="F872" t="s">
        <v>301</v>
      </c>
      <c r="G872" s="213">
        <v>109901</v>
      </c>
      <c r="H872" t="s">
        <v>309</v>
      </c>
      <c r="I872">
        <v>221</v>
      </c>
      <c r="J872" t="s">
        <v>304</v>
      </c>
      <c r="K872" t="s">
        <v>444</v>
      </c>
      <c r="L872" t="s">
        <v>305</v>
      </c>
      <c r="M872">
        <v>29842.3</v>
      </c>
      <c r="P872">
        <v>0</v>
      </c>
      <c r="Q872" s="124">
        <f t="shared" si="89"/>
        <v>29842.3</v>
      </c>
      <c r="R872" s="154"/>
    </row>
    <row r="873" spans="1:18" ht="15">
      <c r="A873" s="161" t="s">
        <v>296</v>
      </c>
      <c r="B873" t="s">
        <v>430</v>
      </c>
      <c r="C873" t="s">
        <v>431</v>
      </c>
      <c r="D873" t="s">
        <v>420</v>
      </c>
      <c r="E873" t="s">
        <v>421</v>
      </c>
      <c r="F873" t="s">
        <v>301</v>
      </c>
      <c r="G873" s="213">
        <v>109901</v>
      </c>
      <c r="H873" t="s">
        <v>309</v>
      </c>
      <c r="I873">
        <v>221</v>
      </c>
      <c r="J873" t="s">
        <v>304</v>
      </c>
      <c r="K873" t="s">
        <v>403</v>
      </c>
      <c r="L873" t="s">
        <v>305</v>
      </c>
      <c r="M873">
        <v>29842.3</v>
      </c>
      <c r="P873">
        <v>0</v>
      </c>
      <c r="Q873" s="124">
        <f t="shared" si="89"/>
        <v>29842.3</v>
      </c>
      <c r="R873" s="154"/>
    </row>
    <row r="874" spans="1:18" ht="15">
      <c r="A874" s="161" t="s">
        <v>296</v>
      </c>
      <c r="B874" t="s">
        <v>430</v>
      </c>
      <c r="C874" t="s">
        <v>431</v>
      </c>
      <c r="D874" t="s">
        <v>420</v>
      </c>
      <c r="E874" t="s">
        <v>421</v>
      </c>
      <c r="F874" t="s">
        <v>301</v>
      </c>
      <c r="G874" s="213">
        <v>109901</v>
      </c>
      <c r="H874" t="s">
        <v>309</v>
      </c>
      <c r="I874">
        <v>221</v>
      </c>
      <c r="J874" t="s">
        <v>304</v>
      </c>
      <c r="K874" t="s">
        <v>404</v>
      </c>
      <c r="L874" t="s">
        <v>305</v>
      </c>
      <c r="M874">
        <v>35810.769999999997</v>
      </c>
      <c r="P874">
        <v>0</v>
      </c>
      <c r="Q874" s="124">
        <f t="shared" si="89"/>
        <v>35810.769999999997</v>
      </c>
      <c r="R874" s="154"/>
    </row>
    <row r="875" spans="1:18" ht="15">
      <c r="A875" s="161" t="s">
        <v>296</v>
      </c>
      <c r="B875" t="s">
        <v>430</v>
      </c>
      <c r="C875" t="s">
        <v>431</v>
      </c>
      <c r="D875" t="s">
        <v>420</v>
      </c>
      <c r="E875" t="s">
        <v>421</v>
      </c>
      <c r="F875" t="s">
        <v>301</v>
      </c>
      <c r="G875" s="213">
        <v>109901</v>
      </c>
      <c r="H875" t="s">
        <v>309</v>
      </c>
      <c r="I875">
        <v>221</v>
      </c>
      <c r="J875" t="s">
        <v>304</v>
      </c>
      <c r="K875" t="s">
        <v>445</v>
      </c>
      <c r="L875" t="s">
        <v>305</v>
      </c>
      <c r="M875">
        <v>62668.84</v>
      </c>
      <c r="P875">
        <v>0</v>
      </c>
      <c r="Q875" s="124">
        <f t="shared" si="89"/>
        <v>62668.84</v>
      </c>
      <c r="R875" s="154"/>
    </row>
    <row r="876" spans="1:18" ht="15">
      <c r="A876" s="161" t="s">
        <v>296</v>
      </c>
      <c r="B876" t="s">
        <v>430</v>
      </c>
      <c r="C876" t="s">
        <v>431</v>
      </c>
      <c r="D876" t="s">
        <v>420</v>
      </c>
      <c r="E876" t="s">
        <v>421</v>
      </c>
      <c r="F876" t="s">
        <v>301</v>
      </c>
      <c r="G876" s="213">
        <v>109901</v>
      </c>
      <c r="H876" t="s">
        <v>309</v>
      </c>
      <c r="I876">
        <v>221</v>
      </c>
      <c r="J876" t="s">
        <v>304</v>
      </c>
      <c r="K876" t="s">
        <v>446</v>
      </c>
      <c r="L876" t="s">
        <v>305</v>
      </c>
      <c r="M876">
        <v>30914.2</v>
      </c>
      <c r="P876">
        <v>0</v>
      </c>
      <c r="Q876" s="124">
        <f t="shared" si="89"/>
        <v>30914.2</v>
      </c>
      <c r="R876" s="154"/>
    </row>
    <row r="877" spans="1:18" ht="15">
      <c r="A877" s="161" t="s">
        <v>296</v>
      </c>
      <c r="B877" t="s">
        <v>430</v>
      </c>
      <c r="C877" t="s">
        <v>431</v>
      </c>
      <c r="D877" t="s">
        <v>420</v>
      </c>
      <c r="E877" t="s">
        <v>421</v>
      </c>
      <c r="F877" t="s">
        <v>301</v>
      </c>
      <c r="G877" s="213">
        <v>109901</v>
      </c>
      <c r="H877" t="s">
        <v>309</v>
      </c>
      <c r="I877">
        <v>221</v>
      </c>
      <c r="J877" t="s">
        <v>304</v>
      </c>
      <c r="K877" t="s">
        <v>447</v>
      </c>
      <c r="L877" t="s">
        <v>305</v>
      </c>
      <c r="M877">
        <v>53716.15</v>
      </c>
      <c r="P877">
        <v>0</v>
      </c>
      <c r="Q877" s="124">
        <f t="shared" si="89"/>
        <v>53716.15</v>
      </c>
      <c r="R877" s="154"/>
    </row>
    <row r="878" spans="1:18" ht="15">
      <c r="A878" s="161" t="s">
        <v>296</v>
      </c>
      <c r="B878" t="s">
        <v>430</v>
      </c>
      <c r="C878" t="s">
        <v>431</v>
      </c>
      <c r="D878" t="s">
        <v>420</v>
      </c>
      <c r="E878" t="s">
        <v>421</v>
      </c>
      <c r="F878" t="s">
        <v>301</v>
      </c>
      <c r="G878" s="213">
        <v>109901</v>
      </c>
      <c r="H878" t="s">
        <v>309</v>
      </c>
      <c r="I878">
        <v>221</v>
      </c>
      <c r="J878" t="s">
        <v>304</v>
      </c>
      <c r="K878" t="s">
        <v>448</v>
      </c>
      <c r="L878" t="s">
        <v>305</v>
      </c>
      <c r="M878">
        <v>20889.61</v>
      </c>
      <c r="P878">
        <v>0</v>
      </c>
      <c r="Q878" s="124">
        <f t="shared" si="89"/>
        <v>20889.61</v>
      </c>
      <c r="R878" s="154"/>
    </row>
    <row r="879" spans="1:18" ht="15">
      <c r="A879" s="161" t="s">
        <v>296</v>
      </c>
      <c r="B879" t="s">
        <v>430</v>
      </c>
      <c r="C879" t="s">
        <v>431</v>
      </c>
      <c r="D879" t="s">
        <v>420</v>
      </c>
      <c r="E879" t="s">
        <v>421</v>
      </c>
      <c r="F879" t="s">
        <v>301</v>
      </c>
      <c r="G879" s="213">
        <v>109901</v>
      </c>
      <c r="H879" t="s">
        <v>309</v>
      </c>
      <c r="I879">
        <v>221</v>
      </c>
      <c r="J879" t="s">
        <v>304</v>
      </c>
      <c r="K879" t="s">
        <v>449</v>
      </c>
      <c r="L879" t="s">
        <v>305</v>
      </c>
      <c r="M879">
        <v>23873.84</v>
      </c>
      <c r="P879">
        <v>0</v>
      </c>
      <c r="Q879" s="124">
        <f t="shared" si="89"/>
        <v>23873.84</v>
      </c>
      <c r="R879" s="154"/>
    </row>
    <row r="880" spans="1:18" ht="15">
      <c r="A880" s="161" t="s">
        <v>296</v>
      </c>
      <c r="B880" t="s">
        <v>430</v>
      </c>
      <c r="C880" t="s">
        <v>431</v>
      </c>
      <c r="D880" t="s">
        <v>420</v>
      </c>
      <c r="E880" t="s">
        <v>421</v>
      </c>
      <c r="F880" t="s">
        <v>301</v>
      </c>
      <c r="G880" s="213">
        <v>109901</v>
      </c>
      <c r="H880" t="s">
        <v>309</v>
      </c>
      <c r="I880">
        <v>221</v>
      </c>
      <c r="J880" t="s">
        <v>304</v>
      </c>
      <c r="K880" t="s">
        <v>450</v>
      </c>
      <c r="L880" t="s">
        <v>305</v>
      </c>
      <c r="M880">
        <v>31632.84</v>
      </c>
      <c r="P880">
        <v>0</v>
      </c>
      <c r="Q880" s="124">
        <f t="shared" si="89"/>
        <v>31632.84</v>
      </c>
      <c r="R880" s="154"/>
    </row>
    <row r="881" spans="1:19" ht="15">
      <c r="A881" s="161" t="s">
        <v>296</v>
      </c>
      <c r="B881" t="s">
        <v>430</v>
      </c>
      <c r="C881" t="s">
        <v>431</v>
      </c>
      <c r="D881" t="s">
        <v>420</v>
      </c>
      <c r="E881" t="s">
        <v>421</v>
      </c>
      <c r="F881" t="s">
        <v>301</v>
      </c>
      <c r="G881" s="213">
        <v>109901</v>
      </c>
      <c r="H881" t="s">
        <v>309</v>
      </c>
      <c r="I881">
        <v>221</v>
      </c>
      <c r="J881" t="s">
        <v>304</v>
      </c>
      <c r="K881" t="s">
        <v>451</v>
      </c>
      <c r="L881" t="s">
        <v>305</v>
      </c>
      <c r="M881">
        <v>25664.38</v>
      </c>
      <c r="P881">
        <v>0</v>
      </c>
      <c r="Q881" s="124">
        <f t="shared" si="89"/>
        <v>25664.38</v>
      </c>
      <c r="R881" s="154"/>
    </row>
    <row r="882" spans="1:19" ht="15">
      <c r="A882" s="161" t="s">
        <v>296</v>
      </c>
      <c r="B882" t="s">
        <v>430</v>
      </c>
      <c r="C882" t="s">
        <v>431</v>
      </c>
      <c r="D882" t="s">
        <v>420</v>
      </c>
      <c r="E882" t="s">
        <v>421</v>
      </c>
      <c r="F882" t="s">
        <v>301</v>
      </c>
      <c r="G882" s="213">
        <v>109901</v>
      </c>
      <c r="H882" t="s">
        <v>309</v>
      </c>
      <c r="I882">
        <v>221</v>
      </c>
      <c r="J882" t="s">
        <v>304</v>
      </c>
      <c r="K882" t="s">
        <v>452</v>
      </c>
      <c r="L882" t="s">
        <v>305</v>
      </c>
      <c r="M882">
        <v>62973.35</v>
      </c>
      <c r="P882">
        <v>0</v>
      </c>
      <c r="Q882" s="124">
        <f t="shared" si="89"/>
        <v>62973.35</v>
      </c>
      <c r="R882" s="154"/>
    </row>
    <row r="883" spans="1:19" ht="15">
      <c r="A883" s="161" t="s">
        <v>296</v>
      </c>
      <c r="B883" t="s">
        <v>430</v>
      </c>
      <c r="C883" t="s">
        <v>431</v>
      </c>
      <c r="D883" t="s">
        <v>420</v>
      </c>
      <c r="E883" t="s">
        <v>421</v>
      </c>
      <c r="F883" t="s">
        <v>301</v>
      </c>
      <c r="G883" s="213">
        <v>109901</v>
      </c>
      <c r="H883" t="s">
        <v>309</v>
      </c>
      <c r="I883">
        <v>221</v>
      </c>
      <c r="J883" t="s">
        <v>304</v>
      </c>
      <c r="K883" t="s">
        <v>453</v>
      </c>
      <c r="L883" t="s">
        <v>305</v>
      </c>
      <c r="M883">
        <v>34617.07</v>
      </c>
      <c r="P883">
        <v>0</v>
      </c>
      <c r="Q883" s="124">
        <f t="shared" si="89"/>
        <v>34617.07</v>
      </c>
      <c r="R883" s="154"/>
    </row>
    <row r="884" spans="1:19" ht="15">
      <c r="A884" s="161" t="s">
        <v>296</v>
      </c>
      <c r="B884" t="s">
        <v>430</v>
      </c>
      <c r="C884" t="s">
        <v>431</v>
      </c>
      <c r="D884" t="s">
        <v>420</v>
      </c>
      <c r="E884" t="s">
        <v>421</v>
      </c>
      <c r="F884" t="s">
        <v>301</v>
      </c>
      <c r="G884" s="213">
        <v>109901</v>
      </c>
      <c r="H884" t="s">
        <v>309</v>
      </c>
      <c r="I884">
        <v>221</v>
      </c>
      <c r="J884" t="s">
        <v>304</v>
      </c>
      <c r="K884" t="s">
        <v>417</v>
      </c>
      <c r="L884" t="s">
        <v>305</v>
      </c>
      <c r="M884">
        <v>42936.38</v>
      </c>
      <c r="P884">
        <v>0</v>
      </c>
      <c r="Q884" s="124">
        <f t="shared" si="89"/>
        <v>42936.38</v>
      </c>
      <c r="R884" s="154"/>
    </row>
    <row r="885" spans="1:19" ht="15">
      <c r="A885" s="161" t="s">
        <v>296</v>
      </c>
      <c r="B885" t="s">
        <v>430</v>
      </c>
      <c r="C885" t="s">
        <v>431</v>
      </c>
      <c r="D885" t="s">
        <v>420</v>
      </c>
      <c r="E885" t="s">
        <v>421</v>
      </c>
      <c r="F885" t="s">
        <v>301</v>
      </c>
      <c r="G885" s="213">
        <v>109901</v>
      </c>
      <c r="H885" t="s">
        <v>309</v>
      </c>
      <c r="I885">
        <v>221</v>
      </c>
      <c r="J885" t="s">
        <v>304</v>
      </c>
      <c r="K885" t="s">
        <v>454</v>
      </c>
      <c r="L885" t="s">
        <v>305</v>
      </c>
      <c r="M885">
        <v>46554</v>
      </c>
      <c r="P885">
        <v>0</v>
      </c>
      <c r="Q885" s="124">
        <f t="shared" si="89"/>
        <v>46554</v>
      </c>
      <c r="R885" s="154"/>
    </row>
    <row r="886" spans="1:19" ht="15">
      <c r="A886" s="161" t="s">
        <v>296</v>
      </c>
      <c r="B886" t="s">
        <v>430</v>
      </c>
      <c r="C886" t="s">
        <v>431</v>
      </c>
      <c r="D886" t="s">
        <v>420</v>
      </c>
      <c r="E886" t="s">
        <v>421</v>
      </c>
      <c r="F886" t="s">
        <v>301</v>
      </c>
      <c r="G886" s="213">
        <v>109901</v>
      </c>
      <c r="H886" t="s">
        <v>309</v>
      </c>
      <c r="I886">
        <v>221</v>
      </c>
      <c r="J886" t="s">
        <v>304</v>
      </c>
      <c r="K886" t="s">
        <v>455</v>
      </c>
      <c r="L886" t="s">
        <v>305</v>
      </c>
      <c r="M886">
        <v>20889.61</v>
      </c>
      <c r="P886">
        <v>0</v>
      </c>
      <c r="Q886" s="124">
        <f t="shared" si="89"/>
        <v>20889.61</v>
      </c>
      <c r="R886" s="154"/>
    </row>
    <row r="887" spans="1:19" ht="15">
      <c r="A887" s="161" t="s">
        <v>296</v>
      </c>
      <c r="B887" t="s">
        <v>430</v>
      </c>
      <c r="C887" t="s">
        <v>431</v>
      </c>
      <c r="D887" t="s">
        <v>420</v>
      </c>
      <c r="E887" t="s">
        <v>421</v>
      </c>
      <c r="F887" t="s">
        <v>301</v>
      </c>
      <c r="G887" s="213">
        <v>109901</v>
      </c>
      <c r="H887" t="s">
        <v>309</v>
      </c>
      <c r="I887">
        <v>221</v>
      </c>
      <c r="J887" t="s">
        <v>456</v>
      </c>
      <c r="K887" t="s">
        <v>457</v>
      </c>
      <c r="L887" t="s">
        <v>305</v>
      </c>
      <c r="M887">
        <v>9975.86</v>
      </c>
      <c r="P887">
        <v>0</v>
      </c>
      <c r="Q887" s="124">
        <f t="shared" si="89"/>
        <v>9975.86</v>
      </c>
      <c r="R887" s="154"/>
    </row>
    <row r="888" spans="1:19" ht="15">
      <c r="A888" s="161" t="s">
        <v>296</v>
      </c>
      <c r="R888" s="154"/>
      <c r="S888" s="154"/>
    </row>
    <row r="889" spans="1:19" ht="15">
      <c r="A889" s="161" t="s">
        <v>296</v>
      </c>
      <c r="R889" s="154"/>
      <c r="S889" s="154"/>
    </row>
    <row r="890" spans="1:19" ht="15">
      <c r="A890" s="161" t="s">
        <v>296</v>
      </c>
      <c r="R890" s="154"/>
      <c r="S890" s="154"/>
    </row>
    <row r="891" spans="1:19" ht="15">
      <c r="A891" s="161" t="s">
        <v>296</v>
      </c>
      <c r="R891" s="154"/>
      <c r="S891" s="154"/>
    </row>
    <row r="892" spans="1:19" ht="15">
      <c r="A892" s="161" t="s">
        <v>296</v>
      </c>
      <c r="R892" s="154"/>
      <c r="S892" s="154"/>
    </row>
    <row r="893" spans="1:19" ht="15">
      <c r="A893" s="161" t="s">
        <v>296</v>
      </c>
      <c r="R893" s="154"/>
      <c r="S893" s="154"/>
    </row>
    <row r="894" spans="1:19" ht="15">
      <c r="A894" s="161" t="s">
        <v>296</v>
      </c>
      <c r="R894" s="154"/>
      <c r="S894" s="154"/>
    </row>
    <row r="895" spans="1:19" ht="15">
      <c r="A895" s="161" t="s">
        <v>296</v>
      </c>
      <c r="R895" s="154"/>
      <c r="S895" s="154"/>
    </row>
    <row r="896" spans="1:19" ht="15">
      <c r="A896" s="161" t="s">
        <v>296</v>
      </c>
      <c r="R896" s="154"/>
      <c r="S896" s="154"/>
    </row>
    <row r="897" spans="1:19" ht="15">
      <c r="A897" s="161" t="s">
        <v>296</v>
      </c>
      <c r="R897" s="154"/>
      <c r="S897" s="154"/>
    </row>
    <row r="898" spans="1:19" ht="15">
      <c r="A898" s="161" t="s">
        <v>296</v>
      </c>
      <c r="R898" s="154"/>
      <c r="S898" s="154"/>
    </row>
    <row r="899" spans="1:19" ht="15">
      <c r="A899" s="161" t="s">
        <v>296</v>
      </c>
      <c r="R899" s="154"/>
      <c r="S899" s="154"/>
    </row>
    <row r="900" spans="1:19" ht="15">
      <c r="A900" s="161" t="s">
        <v>296</v>
      </c>
      <c r="R900" s="154"/>
      <c r="S900" s="154"/>
    </row>
    <row r="901" spans="1:19" ht="15">
      <c r="A901" s="161" t="s">
        <v>296</v>
      </c>
      <c r="R901" s="154"/>
      <c r="S901" s="154"/>
    </row>
    <row r="902" spans="1:19" ht="15">
      <c r="A902" s="161" t="s">
        <v>296</v>
      </c>
      <c r="R902" s="154"/>
      <c r="S902" s="154"/>
    </row>
    <row r="903" spans="1:19" ht="15">
      <c r="A903" s="161" t="s">
        <v>296</v>
      </c>
      <c r="R903" s="154"/>
      <c r="S903" s="154"/>
    </row>
    <row r="904" spans="1:19" ht="15">
      <c r="A904" s="161" t="s">
        <v>296</v>
      </c>
      <c r="R904" s="154"/>
      <c r="S904" s="154"/>
    </row>
    <row r="905" spans="1:19" ht="15">
      <c r="A905" s="161" t="s">
        <v>296</v>
      </c>
      <c r="R905" s="154"/>
      <c r="S905" s="154"/>
    </row>
    <row r="906" spans="1:19" ht="15">
      <c r="A906" s="161" t="s">
        <v>296</v>
      </c>
      <c r="R906" s="154"/>
      <c r="S906" s="154"/>
    </row>
    <row r="907" spans="1:19" ht="15">
      <c r="A907" s="161" t="s">
        <v>296</v>
      </c>
      <c r="R907" s="154"/>
      <c r="S907" s="154"/>
    </row>
    <row r="908" spans="1:19" ht="15">
      <c r="A908" s="161" t="s">
        <v>296</v>
      </c>
      <c r="R908" s="154"/>
      <c r="S908" s="154"/>
    </row>
    <row r="909" spans="1:19" ht="15">
      <c r="A909" s="161" t="s">
        <v>296</v>
      </c>
      <c r="R909" s="154"/>
      <c r="S909" s="154"/>
    </row>
    <row r="910" spans="1:19" ht="15">
      <c r="A910" s="161" t="s">
        <v>296</v>
      </c>
      <c r="R910" s="154"/>
      <c r="S910" s="154"/>
    </row>
    <row r="911" spans="1:19" ht="15">
      <c r="A911" s="161" t="s">
        <v>296</v>
      </c>
      <c r="R911" s="154"/>
      <c r="S911" s="154"/>
    </row>
    <row r="912" spans="1:19" ht="15">
      <c r="A912" s="161" t="s">
        <v>296</v>
      </c>
      <c r="R912" s="154"/>
      <c r="S912" s="154"/>
    </row>
    <row r="913" spans="1:19" ht="15">
      <c r="A913" s="161" t="s">
        <v>296</v>
      </c>
      <c r="R913" s="154"/>
      <c r="S913" s="154"/>
    </row>
    <row r="914" spans="1:19" ht="15">
      <c r="A914" s="161" t="s">
        <v>296</v>
      </c>
      <c r="R914" s="154"/>
      <c r="S914" s="154"/>
    </row>
    <row r="915" spans="1:19" ht="15">
      <c r="A915" s="161" t="s">
        <v>296</v>
      </c>
      <c r="R915" s="154"/>
      <c r="S915" s="154"/>
    </row>
    <row r="916" spans="1:19" ht="15">
      <c r="A916" s="161" t="s">
        <v>296</v>
      </c>
      <c r="R916" s="154"/>
      <c r="S916" s="154"/>
    </row>
    <row r="917" spans="1:19" ht="15">
      <c r="A917" s="161" t="s">
        <v>296</v>
      </c>
      <c r="R917" s="154"/>
      <c r="S917" s="154"/>
    </row>
    <row r="918" spans="1:19" ht="15">
      <c r="A918" s="161" t="s">
        <v>296</v>
      </c>
      <c r="R918" s="154"/>
      <c r="S918" s="154"/>
    </row>
    <row r="919" spans="1:19" ht="15">
      <c r="A919" s="161" t="s">
        <v>296</v>
      </c>
      <c r="R919" s="154"/>
      <c r="S919" s="154"/>
    </row>
    <row r="920" spans="1:19" ht="15">
      <c r="A920" s="161" t="s">
        <v>296</v>
      </c>
      <c r="R920" s="154"/>
      <c r="S920" s="154"/>
    </row>
    <row r="921" spans="1:19" ht="15">
      <c r="A921" s="161" t="s">
        <v>296</v>
      </c>
      <c r="R921" s="154"/>
      <c r="S921" s="154"/>
    </row>
    <row r="922" spans="1:19" ht="15">
      <c r="A922" s="161" t="s">
        <v>296</v>
      </c>
      <c r="R922" s="154"/>
      <c r="S922" s="154"/>
    </row>
    <row r="923" spans="1:19" ht="15">
      <c r="A923" s="161" t="s">
        <v>296</v>
      </c>
      <c r="R923" s="154"/>
      <c r="S923" s="154"/>
    </row>
    <row r="924" spans="1:19" ht="15">
      <c r="A924" s="161" t="s">
        <v>296</v>
      </c>
      <c r="R924" s="154"/>
      <c r="S924" s="154"/>
    </row>
    <row r="925" spans="1:19" ht="15">
      <c r="A925" s="161" t="s">
        <v>296</v>
      </c>
      <c r="R925" s="154"/>
      <c r="S925" s="154"/>
    </row>
    <row r="926" spans="1:19" ht="15">
      <c r="A926" s="161" t="s">
        <v>296</v>
      </c>
      <c r="R926" s="154"/>
      <c r="S926" s="154"/>
    </row>
    <row r="927" spans="1:19" ht="15">
      <c r="A927" s="161" t="s">
        <v>296</v>
      </c>
      <c r="R927" s="154"/>
      <c r="S927" s="154"/>
    </row>
    <row r="928" spans="1:19" ht="15">
      <c r="A928" s="161" t="s">
        <v>296</v>
      </c>
      <c r="R928" s="154"/>
      <c r="S928" s="154"/>
    </row>
    <row r="929" spans="1:19" ht="15">
      <c r="A929" s="161" t="s">
        <v>296</v>
      </c>
      <c r="R929" s="154"/>
      <c r="S929" s="154"/>
    </row>
    <row r="930" spans="1:19" ht="15">
      <c r="A930" s="161" t="s">
        <v>296</v>
      </c>
      <c r="R930" s="154"/>
      <c r="S930" s="154"/>
    </row>
    <row r="931" spans="1:19" ht="15">
      <c r="A931" s="161" t="s">
        <v>296</v>
      </c>
      <c r="R931" s="154"/>
      <c r="S931" s="154"/>
    </row>
    <row r="932" spans="1:19" ht="15">
      <c r="A932" s="161" t="s">
        <v>296</v>
      </c>
      <c r="R932" s="154"/>
      <c r="S932" s="154"/>
    </row>
    <row r="933" spans="1:19" ht="15">
      <c r="A933" s="161" t="s">
        <v>296</v>
      </c>
      <c r="R933" s="154"/>
      <c r="S933" s="154"/>
    </row>
    <row r="934" spans="1:19" ht="15">
      <c r="A934" s="161" t="s">
        <v>296</v>
      </c>
      <c r="R934" s="154"/>
      <c r="S934" s="154"/>
    </row>
    <row r="935" spans="1:19" ht="15">
      <c r="A935" s="161" t="s">
        <v>296</v>
      </c>
      <c r="R935" s="154"/>
      <c r="S935" s="154"/>
    </row>
    <row r="936" spans="1:19" ht="15">
      <c r="A936" s="161" t="s">
        <v>296</v>
      </c>
      <c r="R936" s="154"/>
      <c r="S936" s="154"/>
    </row>
    <row r="937" spans="1:19" ht="15">
      <c r="A937" s="161" t="s">
        <v>296</v>
      </c>
      <c r="R937" s="154"/>
      <c r="S937" s="154"/>
    </row>
    <row r="938" spans="1:19" ht="15">
      <c r="A938" s="161" t="s">
        <v>296</v>
      </c>
      <c r="R938" s="154"/>
      <c r="S938" s="154"/>
    </row>
    <row r="939" spans="1:19" ht="15">
      <c r="A939" s="161" t="s">
        <v>296</v>
      </c>
      <c r="R939" s="154"/>
      <c r="S939" s="154"/>
    </row>
    <row r="940" spans="1:19" ht="15">
      <c r="A940" s="161" t="s">
        <v>296</v>
      </c>
      <c r="R940" s="154"/>
      <c r="S940" s="154"/>
    </row>
    <row r="941" spans="1:19" ht="15">
      <c r="A941" s="161" t="s">
        <v>296</v>
      </c>
      <c r="R941" s="154"/>
      <c r="S941" s="154"/>
    </row>
    <row r="942" spans="1:19" ht="15">
      <c r="A942" s="161" t="s">
        <v>296</v>
      </c>
      <c r="R942" s="154"/>
      <c r="S942" s="154"/>
    </row>
    <row r="943" spans="1:19" ht="15">
      <c r="A943" s="161" t="s">
        <v>296</v>
      </c>
      <c r="R943" s="154"/>
      <c r="S943" s="154"/>
    </row>
    <row r="944" spans="1:19" ht="15">
      <c r="A944" s="161" t="s">
        <v>296</v>
      </c>
      <c r="R944" s="154"/>
      <c r="S944" s="154"/>
    </row>
    <row r="945" spans="1:19" ht="15">
      <c r="A945" s="161" t="s">
        <v>296</v>
      </c>
      <c r="R945" s="154"/>
      <c r="S945" s="154"/>
    </row>
    <row r="946" spans="1:19" ht="15">
      <c r="A946" s="161" t="s">
        <v>296</v>
      </c>
      <c r="R946" s="154"/>
      <c r="S946" s="154"/>
    </row>
    <row r="947" spans="1:19" ht="15">
      <c r="A947" s="161" t="s">
        <v>296</v>
      </c>
      <c r="R947" s="154"/>
      <c r="S947" s="154"/>
    </row>
    <row r="948" spans="1:19" ht="15">
      <c r="A948" s="161" t="s">
        <v>296</v>
      </c>
      <c r="R948" s="154"/>
      <c r="S948" s="154"/>
    </row>
    <row r="949" spans="1:19" ht="15">
      <c r="A949" s="161" t="s">
        <v>296</v>
      </c>
      <c r="R949" s="154"/>
      <c r="S949" s="154"/>
    </row>
    <row r="950" spans="1:19" ht="15">
      <c r="A950" s="161" t="s">
        <v>296</v>
      </c>
      <c r="R950" s="154"/>
      <c r="S950" s="154"/>
    </row>
    <row r="951" spans="1:19" ht="15">
      <c r="A951" s="161" t="s">
        <v>296</v>
      </c>
      <c r="R951" s="154"/>
      <c r="S951" s="154"/>
    </row>
    <row r="952" spans="1:19" ht="15">
      <c r="A952" s="161" t="s">
        <v>296</v>
      </c>
      <c r="R952" s="154"/>
      <c r="S952" s="154"/>
    </row>
    <row r="953" spans="1:19" ht="15">
      <c r="A953" s="161" t="s">
        <v>296</v>
      </c>
      <c r="R953" s="154"/>
      <c r="S953" s="154"/>
    </row>
    <row r="954" spans="1:19" ht="15">
      <c r="A954" s="161" t="s">
        <v>296</v>
      </c>
      <c r="R954" s="154"/>
      <c r="S954" s="154"/>
    </row>
    <row r="955" spans="1:19" ht="15">
      <c r="A955" s="161" t="s">
        <v>296</v>
      </c>
      <c r="R955" s="154"/>
      <c r="S955" s="154"/>
    </row>
    <row r="956" spans="1:19" ht="15">
      <c r="A956" s="161" t="s">
        <v>296</v>
      </c>
      <c r="R956" s="154"/>
      <c r="S956" s="154"/>
    </row>
    <row r="957" spans="1:19" ht="15">
      <c r="A957" s="161" t="s">
        <v>296</v>
      </c>
      <c r="R957" s="154"/>
      <c r="S957" s="154"/>
    </row>
    <row r="958" spans="1:19" ht="15">
      <c r="A958" s="161" t="s">
        <v>296</v>
      </c>
      <c r="R958" s="154"/>
      <c r="S958" s="154"/>
    </row>
    <row r="959" spans="1:19" ht="15">
      <c r="A959" s="161" t="s">
        <v>296</v>
      </c>
      <c r="R959" s="154"/>
      <c r="S959" s="154"/>
    </row>
    <row r="960" spans="1:19" ht="15">
      <c r="A960" s="161" t="s">
        <v>296</v>
      </c>
      <c r="R960" s="154"/>
      <c r="S960" s="154"/>
    </row>
    <row r="961" spans="1:19" ht="15">
      <c r="A961" s="161" t="s">
        <v>296</v>
      </c>
      <c r="R961" s="154"/>
      <c r="S961" s="154"/>
    </row>
    <row r="962" spans="1:19" ht="15">
      <c r="A962" s="161" t="s">
        <v>296</v>
      </c>
      <c r="R962" s="154"/>
      <c r="S962" s="154"/>
    </row>
    <row r="963" spans="1:19" ht="15">
      <c r="A963" s="161" t="s">
        <v>296</v>
      </c>
      <c r="R963" s="154"/>
      <c r="S963" s="154"/>
    </row>
    <row r="964" spans="1:19" ht="15">
      <c r="A964" s="161" t="s">
        <v>296</v>
      </c>
      <c r="R964" s="154"/>
      <c r="S964" s="154"/>
    </row>
    <row r="965" spans="1:19" ht="15">
      <c r="A965" s="161" t="s">
        <v>296</v>
      </c>
      <c r="R965" s="154"/>
      <c r="S965" s="154"/>
    </row>
    <row r="966" spans="1:19" ht="15">
      <c r="A966" s="161" t="s">
        <v>296</v>
      </c>
    </row>
    <row r="967" spans="1:19" ht="15">
      <c r="A967" s="161" t="s">
        <v>296</v>
      </c>
    </row>
    <row r="968" spans="1:19" ht="15">
      <c r="A968" s="161" t="s">
        <v>296</v>
      </c>
    </row>
    <row r="969" spans="1:19" ht="15">
      <c r="A969" s="161" t="s">
        <v>296</v>
      </c>
    </row>
    <row r="970" spans="1:19" ht="15">
      <c r="A970" s="161" t="s">
        <v>296</v>
      </c>
    </row>
    <row r="971" spans="1:19" ht="15">
      <c r="A971" s="161" t="s">
        <v>296</v>
      </c>
    </row>
    <row r="972" spans="1:19" ht="15">
      <c r="A972" s="161" t="s">
        <v>296</v>
      </c>
    </row>
    <row r="973" spans="1:19" ht="15">
      <c r="A973" s="161" t="s">
        <v>296</v>
      </c>
    </row>
    <row r="974" spans="1:19" ht="15">
      <c r="A974" s="161" t="s">
        <v>296</v>
      </c>
    </row>
    <row r="975" spans="1:19" ht="15">
      <c r="A975" s="161" t="s">
        <v>296</v>
      </c>
    </row>
    <row r="976" spans="1:19" ht="15">
      <c r="A976" s="161" t="s">
        <v>296</v>
      </c>
    </row>
    <row r="977" spans="1:1" ht="15">
      <c r="A977" s="161" t="s">
        <v>296</v>
      </c>
    </row>
    <row r="978" spans="1:1" ht="15">
      <c r="A978" s="161" t="s">
        <v>296</v>
      </c>
    </row>
    <row r="979" spans="1:1" ht="15">
      <c r="A979" s="161" t="s">
        <v>296</v>
      </c>
    </row>
    <row r="980" spans="1:1" ht="15">
      <c r="A980" s="161" t="s">
        <v>296</v>
      </c>
    </row>
    <row r="981" spans="1:1" ht="15">
      <c r="A981" s="161" t="s">
        <v>296</v>
      </c>
    </row>
    <row r="982" spans="1:1" ht="15">
      <c r="A982" s="161" t="s">
        <v>296</v>
      </c>
    </row>
    <row r="983" spans="1:1" ht="15">
      <c r="A983" s="161" t="s">
        <v>296</v>
      </c>
    </row>
    <row r="984" spans="1:1" ht="15">
      <c r="A984" s="161" t="s">
        <v>296</v>
      </c>
    </row>
    <row r="985" spans="1:1" ht="15">
      <c r="A985" s="161" t="s">
        <v>296</v>
      </c>
    </row>
    <row r="986" spans="1:1" ht="15">
      <c r="A986" s="161" t="s">
        <v>296</v>
      </c>
    </row>
    <row r="987" spans="1:1" ht="15">
      <c r="A987" s="161" t="s">
        <v>296</v>
      </c>
    </row>
    <row r="988" spans="1:1" ht="15">
      <c r="A988" s="161" t="s">
        <v>296</v>
      </c>
    </row>
    <row r="989" spans="1:1" ht="15">
      <c r="A989" s="161" t="s">
        <v>296</v>
      </c>
    </row>
    <row r="990" spans="1:1" ht="15">
      <c r="A990" s="161" t="s">
        <v>296</v>
      </c>
    </row>
    <row r="991" spans="1:1" ht="15">
      <c r="A991" s="161" t="s">
        <v>296</v>
      </c>
    </row>
    <row r="992" spans="1:1" ht="15">
      <c r="A992" s="161" t="s">
        <v>296</v>
      </c>
    </row>
    <row r="993" spans="1:1" ht="15">
      <c r="A993" s="161" t="s">
        <v>296</v>
      </c>
    </row>
    <row r="994" spans="1:1" ht="15">
      <c r="A994" s="161" t="s">
        <v>296</v>
      </c>
    </row>
    <row r="995" spans="1:1" ht="15">
      <c r="A995" s="161" t="s">
        <v>296</v>
      </c>
    </row>
    <row r="996" spans="1:1" ht="15">
      <c r="A996" s="161" t="s">
        <v>296</v>
      </c>
    </row>
    <row r="997" spans="1:1" ht="15">
      <c r="A997" s="161" t="s">
        <v>296</v>
      </c>
    </row>
    <row r="998" spans="1:1" ht="15">
      <c r="A998" s="161" t="s">
        <v>296</v>
      </c>
    </row>
    <row r="999" spans="1:1" ht="15">
      <c r="A999" s="161" t="s">
        <v>296</v>
      </c>
    </row>
    <row r="1000" spans="1:1" ht="15">
      <c r="A1000" s="161" t="s">
        <v>296</v>
      </c>
    </row>
    <row r="1001" spans="1:1" ht="15">
      <c r="A1001" s="161" t="s">
        <v>296</v>
      </c>
    </row>
    <row r="1002" spans="1:1" ht="15">
      <c r="A1002" s="161" t="s">
        <v>296</v>
      </c>
    </row>
    <row r="1003" spans="1:1" ht="15">
      <c r="A1003" s="161" t="s">
        <v>296</v>
      </c>
    </row>
    <row r="1004" spans="1:1" ht="15">
      <c r="A1004" s="161" t="s">
        <v>296</v>
      </c>
    </row>
    <row r="1005" spans="1:1" ht="15">
      <c r="A1005" s="161" t="s">
        <v>296</v>
      </c>
    </row>
    <row r="1006" spans="1:1" ht="15">
      <c r="A1006" s="161" t="s">
        <v>296</v>
      </c>
    </row>
    <row r="1007" spans="1:1" ht="15">
      <c r="A1007" s="161" t="s">
        <v>296</v>
      </c>
    </row>
    <row r="1008" spans="1:1" ht="15">
      <c r="A1008" s="161" t="s">
        <v>296</v>
      </c>
    </row>
    <row r="1009" spans="1:1" ht="15">
      <c r="A1009" s="161" t="s">
        <v>296</v>
      </c>
    </row>
    <row r="1010" spans="1:1" ht="15">
      <c r="A1010" s="161" t="s">
        <v>296</v>
      </c>
    </row>
    <row r="1011" spans="1:1" ht="15">
      <c r="A1011" s="161" t="s">
        <v>296</v>
      </c>
    </row>
    <row r="1012" spans="1:1" ht="15">
      <c r="A1012" s="161" t="s">
        <v>296</v>
      </c>
    </row>
    <row r="1013" spans="1:1" ht="15">
      <c r="A1013" s="161" t="s">
        <v>296</v>
      </c>
    </row>
    <row r="1014" spans="1:1" ht="15">
      <c r="A1014" s="161" t="s">
        <v>296</v>
      </c>
    </row>
    <row r="1015" spans="1:1" ht="15">
      <c r="A1015" s="161" t="s">
        <v>296</v>
      </c>
    </row>
    <row r="1016" spans="1:1" ht="15">
      <c r="A1016" s="161" t="s">
        <v>296</v>
      </c>
    </row>
    <row r="1017" spans="1:1" ht="15">
      <c r="A1017" s="161" t="s">
        <v>296</v>
      </c>
    </row>
    <row r="1018" spans="1:1" ht="15">
      <c r="A1018" s="161" t="s">
        <v>296</v>
      </c>
    </row>
    <row r="1019" spans="1:1" ht="15">
      <c r="A1019" s="161" t="s">
        <v>296</v>
      </c>
    </row>
    <row r="1020" spans="1:1" ht="15">
      <c r="A1020" s="161" t="s">
        <v>296</v>
      </c>
    </row>
    <row r="1021" spans="1:1" ht="15">
      <c r="A1021" s="161" t="s">
        <v>296</v>
      </c>
    </row>
    <row r="1022" spans="1:1" ht="15">
      <c r="A1022" s="161" t="s">
        <v>296</v>
      </c>
    </row>
    <row r="1023" spans="1:1" ht="15">
      <c r="A1023" s="161" t="s">
        <v>296</v>
      </c>
    </row>
    <row r="1024" spans="1:1" ht="15">
      <c r="A1024" s="161" t="s">
        <v>296</v>
      </c>
    </row>
    <row r="1025" spans="1:1" ht="15">
      <c r="A1025" s="161" t="s">
        <v>296</v>
      </c>
    </row>
    <row r="1026" spans="1:1" ht="15">
      <c r="A1026" s="161" t="s">
        <v>296</v>
      </c>
    </row>
    <row r="1027" spans="1:1" ht="15">
      <c r="A1027" s="161" t="s">
        <v>296</v>
      </c>
    </row>
    <row r="1028" spans="1:1" ht="15">
      <c r="A1028" s="161" t="s">
        <v>296</v>
      </c>
    </row>
    <row r="1029" spans="1:1" ht="15">
      <c r="A1029" s="161" t="s">
        <v>296</v>
      </c>
    </row>
    <row r="1030" spans="1:1" ht="15">
      <c r="A1030" s="161" t="s">
        <v>296</v>
      </c>
    </row>
    <row r="1031" spans="1:1" ht="15">
      <c r="A1031" s="161" t="s">
        <v>296</v>
      </c>
    </row>
    <row r="1032" spans="1:1" ht="15">
      <c r="A1032" s="161" t="s">
        <v>296</v>
      </c>
    </row>
    <row r="1033" spans="1:1" ht="15">
      <c r="A1033" s="161" t="s">
        <v>296</v>
      </c>
    </row>
    <row r="1034" spans="1:1" ht="15">
      <c r="A1034" s="161" t="s">
        <v>296</v>
      </c>
    </row>
    <row r="1035" spans="1:1" ht="15">
      <c r="A1035" s="161" t="s">
        <v>296</v>
      </c>
    </row>
    <row r="1036" spans="1:1" ht="15">
      <c r="A1036" s="161" t="s">
        <v>296</v>
      </c>
    </row>
    <row r="1037" spans="1:1" ht="15">
      <c r="A1037" s="161" t="s">
        <v>296</v>
      </c>
    </row>
    <row r="1038" spans="1:1" ht="15">
      <c r="A1038" s="161" t="s">
        <v>296</v>
      </c>
    </row>
    <row r="1039" spans="1:1" ht="15">
      <c r="A1039" s="161" t="s">
        <v>296</v>
      </c>
    </row>
    <row r="1040" spans="1:1" ht="15">
      <c r="A1040" s="161" t="s">
        <v>296</v>
      </c>
    </row>
    <row r="1041" spans="1:1" ht="15">
      <c r="A1041" s="161" t="s">
        <v>296</v>
      </c>
    </row>
    <row r="1042" spans="1:1" ht="15">
      <c r="A1042" s="161" t="s">
        <v>296</v>
      </c>
    </row>
    <row r="1043" spans="1:1" ht="15">
      <c r="A1043" s="161" t="s">
        <v>296</v>
      </c>
    </row>
    <row r="1044" spans="1:1" ht="15">
      <c r="A1044" s="161" t="s">
        <v>296</v>
      </c>
    </row>
    <row r="1045" spans="1:1" ht="15">
      <c r="A1045" s="161" t="s">
        <v>296</v>
      </c>
    </row>
    <row r="1046" spans="1:1" ht="15">
      <c r="A1046" s="161" t="s">
        <v>296</v>
      </c>
    </row>
    <row r="1047" spans="1:1" ht="15">
      <c r="A1047" s="161" t="s">
        <v>296</v>
      </c>
    </row>
    <row r="1048" spans="1:1" ht="15">
      <c r="A1048" s="161" t="s">
        <v>296</v>
      </c>
    </row>
    <row r="1049" spans="1:1" ht="15">
      <c r="A1049" s="161" t="s">
        <v>296</v>
      </c>
    </row>
    <row r="1050" spans="1:1" ht="15">
      <c r="A1050" s="161" t="s">
        <v>296</v>
      </c>
    </row>
    <row r="1051" spans="1:1" ht="15">
      <c r="A1051" s="161" t="s">
        <v>296</v>
      </c>
    </row>
    <row r="1052" spans="1:1" ht="15">
      <c r="A1052" s="161" t="s">
        <v>296</v>
      </c>
    </row>
    <row r="1053" spans="1:1" ht="15">
      <c r="A1053" s="161" t="s">
        <v>296</v>
      </c>
    </row>
    <row r="1054" spans="1:1" ht="15">
      <c r="A1054" s="161" t="s">
        <v>296</v>
      </c>
    </row>
    <row r="1055" spans="1:1" ht="15">
      <c r="A1055" s="161" t="s">
        <v>296</v>
      </c>
    </row>
    <row r="1056" spans="1:1" ht="15">
      <c r="A1056" s="161" t="s">
        <v>296</v>
      </c>
    </row>
    <row r="1057" spans="1:1" ht="15">
      <c r="A1057" s="161" t="s">
        <v>296</v>
      </c>
    </row>
    <row r="1058" spans="1:1" ht="15">
      <c r="A1058" s="161" t="s">
        <v>296</v>
      </c>
    </row>
    <row r="1059" spans="1:1" ht="15">
      <c r="A1059" s="161" t="s">
        <v>296</v>
      </c>
    </row>
    <row r="1060" spans="1:1" ht="15">
      <c r="A1060" s="161" t="s">
        <v>296</v>
      </c>
    </row>
    <row r="1061" spans="1:1" ht="15">
      <c r="A1061" s="161" t="s">
        <v>296</v>
      </c>
    </row>
    <row r="1062" spans="1:1" ht="15">
      <c r="A1062" s="161" t="s">
        <v>296</v>
      </c>
    </row>
    <row r="1063" spans="1:1" ht="15">
      <c r="A1063" s="161" t="s">
        <v>296</v>
      </c>
    </row>
    <row r="1064" spans="1:1" ht="15">
      <c r="A1064" s="161" t="s">
        <v>296</v>
      </c>
    </row>
    <row r="1065" spans="1:1" ht="15">
      <c r="A1065" s="161" t="s">
        <v>296</v>
      </c>
    </row>
    <row r="1066" spans="1:1" ht="15">
      <c r="A1066" s="161" t="s">
        <v>296</v>
      </c>
    </row>
    <row r="1067" spans="1:1" ht="15">
      <c r="A1067" s="161" t="s">
        <v>296</v>
      </c>
    </row>
    <row r="1068" spans="1:1" ht="15">
      <c r="A1068" s="161" t="s">
        <v>296</v>
      </c>
    </row>
    <row r="1069" spans="1:1" ht="15">
      <c r="A1069" s="161" t="s">
        <v>296</v>
      </c>
    </row>
    <row r="1070" spans="1:1" ht="15">
      <c r="A1070" s="161" t="s">
        <v>296</v>
      </c>
    </row>
    <row r="1071" spans="1:1" ht="15">
      <c r="A1071" s="161" t="s">
        <v>296</v>
      </c>
    </row>
    <row r="1072" spans="1:1" ht="15">
      <c r="A1072" s="161" t="s">
        <v>296</v>
      </c>
    </row>
    <row r="1073" spans="1:1" ht="15">
      <c r="A1073" s="161" t="s">
        <v>296</v>
      </c>
    </row>
    <row r="1074" spans="1:1" ht="15">
      <c r="A1074" s="161" t="s">
        <v>296</v>
      </c>
    </row>
    <row r="1075" spans="1:1" ht="15">
      <c r="A1075" s="161" t="s">
        <v>296</v>
      </c>
    </row>
    <row r="1076" spans="1:1" ht="15">
      <c r="A1076" s="161" t="s">
        <v>296</v>
      </c>
    </row>
    <row r="1077" spans="1:1" ht="15">
      <c r="A1077" s="161" t="s">
        <v>296</v>
      </c>
    </row>
    <row r="1078" spans="1:1" ht="15">
      <c r="A1078" s="161" t="s">
        <v>296</v>
      </c>
    </row>
    <row r="1079" spans="1:1" ht="15">
      <c r="A1079" s="161" t="s">
        <v>296</v>
      </c>
    </row>
    <row r="1080" spans="1:1" ht="15">
      <c r="A1080" s="161" t="s">
        <v>296</v>
      </c>
    </row>
    <row r="1081" spans="1:1" ht="15">
      <c r="A1081" s="161" t="s">
        <v>296</v>
      </c>
    </row>
    <row r="1082" spans="1:1" ht="15">
      <c r="A1082" s="161" t="s">
        <v>296</v>
      </c>
    </row>
    <row r="1083" spans="1:1" ht="15">
      <c r="A1083" s="161" t="s">
        <v>296</v>
      </c>
    </row>
    <row r="1084" spans="1:1" ht="15">
      <c r="A1084" s="161" t="s">
        <v>296</v>
      </c>
    </row>
    <row r="1085" spans="1:1" ht="15">
      <c r="A1085" s="161" t="s">
        <v>296</v>
      </c>
    </row>
    <row r="1086" spans="1:1" ht="15">
      <c r="A1086" s="161" t="s">
        <v>296</v>
      </c>
    </row>
    <row r="1087" spans="1:1" ht="15">
      <c r="A1087" s="161" t="s">
        <v>296</v>
      </c>
    </row>
    <row r="1088" spans="1:1" ht="15">
      <c r="A1088" s="161" t="s">
        <v>296</v>
      </c>
    </row>
    <row r="1089" spans="1:1" ht="15">
      <c r="A1089" s="161" t="s">
        <v>296</v>
      </c>
    </row>
    <row r="1090" spans="1:1" ht="15">
      <c r="A1090" s="161" t="s">
        <v>296</v>
      </c>
    </row>
    <row r="1091" spans="1:1" ht="15">
      <c r="A1091" s="161" t="s">
        <v>296</v>
      </c>
    </row>
    <row r="1092" spans="1:1" ht="15">
      <c r="A1092" s="161" t="s">
        <v>296</v>
      </c>
    </row>
    <row r="1093" spans="1:1" ht="15">
      <c r="A1093" s="161"/>
    </row>
    <row r="1094" spans="1:1" ht="15">
      <c r="A1094" s="161"/>
    </row>
    <row r="1095" spans="1:1" ht="15">
      <c r="A1095" s="161"/>
    </row>
    <row r="1096" spans="1:1" ht="15">
      <c r="A1096" s="161"/>
    </row>
    <row r="1097" spans="1:1" ht="15">
      <c r="A1097" s="161"/>
    </row>
    <row r="1098" spans="1:1" ht="15">
      <c r="A1098" s="161"/>
    </row>
    <row r="1099" spans="1:1" ht="15">
      <c r="A1099" s="161"/>
    </row>
    <row r="1100" spans="1:1" ht="15">
      <c r="A1100" s="161"/>
    </row>
    <row r="1101" spans="1:1" ht="15">
      <c r="A1101" s="161"/>
    </row>
  </sheetData>
  <sheetProtection algorithmName="SHA-512" hashValue="g4927RD4tkARL7gvk6PFwcSqM1deSyZZG4EziK0wliO16BsfRbUD84KMvfGqobDy/XZBSKxsi2eiFH9nyy+OoQ==" saltValue="YWzjahgMenckgIujSi0LZw==" spinCount="100000" sheet="1" objects="1" scenarios="1"/>
  <autoFilter ref="A7:U1123" xr:uid="{F917F5D6-E569-45E8-8998-683C5DF4FDFB}">
    <filterColumn colId="1">
      <colorFilter dxfId="0"/>
    </filterColumn>
  </autoFilter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5">
    <tabColor theme="7" tint="0.59999389629810485"/>
    <pageSetUpPr fitToPage="1"/>
  </sheetPr>
  <dimension ref="A3:L40"/>
  <sheetViews>
    <sheetView workbookViewId="0">
      <selection activeCell="D28" sqref="D28"/>
    </sheetView>
  </sheetViews>
  <sheetFormatPr defaultColWidth="11.42578125" defaultRowHeight="15"/>
  <cols>
    <col min="1" max="1" width="36.28515625" style="103" bestFit="1" customWidth="1"/>
    <col min="2" max="2" width="8" style="103" bestFit="1" customWidth="1"/>
    <col min="3" max="3" width="8.5703125" style="103" bestFit="1" customWidth="1"/>
    <col min="4" max="4" width="11.42578125" style="103"/>
    <col min="5" max="5" width="12.42578125" style="103" bestFit="1" customWidth="1"/>
    <col min="6" max="8" width="11.42578125" style="103"/>
    <col min="9" max="9" width="12" style="103" customWidth="1"/>
    <col min="10" max="16384" width="11.42578125" style="103"/>
  </cols>
  <sheetData>
    <row r="3" spans="1:12">
      <c r="A3" s="104" t="s">
        <v>458</v>
      </c>
      <c r="B3" s="105" t="s">
        <v>459</v>
      </c>
      <c r="C3" s="105" t="s">
        <v>460</v>
      </c>
    </row>
    <row r="4" spans="1:12">
      <c r="A4" s="95" t="s">
        <v>153</v>
      </c>
      <c r="B4" s="107"/>
      <c r="C4" s="106">
        <f t="shared" ref="C4:C40" si="0">IFERROR(VLOOKUP(B4,$E$7:$F$16,2),$F$7)</f>
        <v>13200</v>
      </c>
    </row>
    <row r="5" spans="1:12">
      <c r="A5" s="95" t="s">
        <v>151</v>
      </c>
      <c r="B5" s="107"/>
      <c r="C5" s="106">
        <f t="shared" si="0"/>
        <v>13200</v>
      </c>
      <c r="F5" s="253"/>
    </row>
    <row r="6" spans="1:12">
      <c r="A6" s="106" t="s">
        <v>166</v>
      </c>
      <c r="B6" s="107"/>
      <c r="C6" s="106">
        <f t="shared" si="0"/>
        <v>13200</v>
      </c>
      <c r="E6" s="108" t="s">
        <v>461</v>
      </c>
      <c r="F6" s="109"/>
      <c r="H6" s="108" t="s">
        <v>462</v>
      </c>
      <c r="I6" s="109"/>
    </row>
    <row r="7" spans="1:12">
      <c r="A7" s="106" t="s">
        <v>175</v>
      </c>
      <c r="B7" s="107"/>
      <c r="C7" s="106">
        <f t="shared" si="0"/>
        <v>13200</v>
      </c>
      <c r="E7" s="208">
        <v>2017</v>
      </c>
      <c r="F7" s="208">
        <v>13200</v>
      </c>
      <c r="H7" s="109">
        <v>2016</v>
      </c>
      <c r="I7" s="109">
        <v>13300</v>
      </c>
      <c r="L7" s="166"/>
    </row>
    <row r="8" spans="1:12">
      <c r="A8" s="106" t="s">
        <v>154</v>
      </c>
      <c r="B8" s="107"/>
      <c r="C8" s="106">
        <f t="shared" si="0"/>
        <v>13200</v>
      </c>
      <c r="E8" s="208">
        <v>2018</v>
      </c>
      <c r="F8" s="208">
        <v>27100</v>
      </c>
      <c r="H8" s="109">
        <v>2017</v>
      </c>
      <c r="I8" s="109">
        <v>25500</v>
      </c>
      <c r="L8" s="166"/>
    </row>
    <row r="9" spans="1:12">
      <c r="A9" s="106" t="s">
        <v>155</v>
      </c>
      <c r="B9" s="107"/>
      <c r="C9" s="106">
        <f t="shared" si="0"/>
        <v>13200</v>
      </c>
      <c r="E9" s="208">
        <v>2019</v>
      </c>
      <c r="F9" s="208">
        <v>27100</v>
      </c>
      <c r="H9" s="109">
        <v>2018</v>
      </c>
      <c r="I9" s="109">
        <v>25500</v>
      </c>
      <c r="L9" s="166"/>
    </row>
    <row r="10" spans="1:12">
      <c r="A10" s="95" t="s">
        <v>150</v>
      </c>
      <c r="B10" s="107"/>
      <c r="C10" s="106">
        <f t="shared" si="0"/>
        <v>13200</v>
      </c>
      <c r="E10" s="208">
        <v>2020</v>
      </c>
      <c r="F10" s="208">
        <v>27100</v>
      </c>
      <c r="H10" s="109">
        <v>2019</v>
      </c>
      <c r="I10" s="109">
        <v>25500</v>
      </c>
      <c r="L10" s="166"/>
    </row>
    <row r="11" spans="1:12">
      <c r="A11" s="106" t="s">
        <v>156</v>
      </c>
      <c r="B11" s="107"/>
      <c r="C11" s="106">
        <f t="shared" si="0"/>
        <v>13200</v>
      </c>
      <c r="E11" s="208">
        <v>2021</v>
      </c>
      <c r="F11" s="208">
        <v>35500</v>
      </c>
      <c r="H11" s="109">
        <v>2020</v>
      </c>
      <c r="I11" s="109">
        <v>32500</v>
      </c>
      <c r="L11" s="166"/>
    </row>
    <row r="12" spans="1:12">
      <c r="A12" s="106" t="s">
        <v>157</v>
      </c>
      <c r="B12" s="107"/>
      <c r="C12" s="106">
        <f t="shared" si="0"/>
        <v>13200</v>
      </c>
      <c r="E12" s="208">
        <v>2022</v>
      </c>
      <c r="F12" s="208">
        <v>35500</v>
      </c>
      <c r="H12" s="109">
        <v>2021</v>
      </c>
      <c r="I12" s="109">
        <v>32500</v>
      </c>
      <c r="L12" s="166"/>
    </row>
    <row r="13" spans="1:12">
      <c r="A13" s="106" t="s">
        <v>158</v>
      </c>
      <c r="B13" s="107"/>
      <c r="C13" s="106">
        <f t="shared" si="0"/>
        <v>13200</v>
      </c>
      <c r="E13" s="208">
        <v>2023</v>
      </c>
      <c r="F13" s="208">
        <v>35500</v>
      </c>
      <c r="H13" s="109">
        <v>2022</v>
      </c>
      <c r="I13" s="109">
        <v>32500</v>
      </c>
      <c r="L13" s="166"/>
    </row>
    <row r="14" spans="1:12">
      <c r="A14" s="95" t="s">
        <v>152</v>
      </c>
      <c r="B14" s="107"/>
      <c r="C14" s="106">
        <f t="shared" si="0"/>
        <v>13200</v>
      </c>
      <c r="E14" s="208">
        <v>2024</v>
      </c>
      <c r="F14" s="208">
        <v>41600</v>
      </c>
      <c r="H14" s="109">
        <v>2023</v>
      </c>
      <c r="I14" s="109">
        <v>39000</v>
      </c>
      <c r="L14" s="166"/>
    </row>
    <row r="15" spans="1:12">
      <c r="A15" s="106" t="s">
        <v>159</v>
      </c>
      <c r="B15" s="107"/>
      <c r="C15" s="106">
        <f t="shared" si="0"/>
        <v>13200</v>
      </c>
      <c r="E15" s="208">
        <v>2025</v>
      </c>
      <c r="F15" s="208">
        <v>41600</v>
      </c>
      <c r="H15" s="109">
        <v>2024</v>
      </c>
      <c r="I15" s="109">
        <v>39000</v>
      </c>
      <c r="L15" s="166"/>
    </row>
    <row r="16" spans="1:12">
      <c r="A16" s="95" t="s">
        <v>149</v>
      </c>
      <c r="B16" s="107"/>
      <c r="C16" s="106">
        <f t="shared" si="0"/>
        <v>13200</v>
      </c>
      <c r="E16" s="208">
        <v>2026</v>
      </c>
      <c r="F16" s="208">
        <v>41600</v>
      </c>
      <c r="H16" s="109">
        <v>2025</v>
      </c>
      <c r="I16" s="109">
        <v>39000</v>
      </c>
      <c r="L16" s="166"/>
    </row>
    <row r="17" spans="1:11">
      <c r="A17" s="106" t="s">
        <v>160</v>
      </c>
      <c r="B17" s="107"/>
      <c r="C17" s="106">
        <f t="shared" si="0"/>
        <v>13200</v>
      </c>
    </row>
    <row r="18" spans="1:11">
      <c r="A18" s="106" t="s">
        <v>176</v>
      </c>
      <c r="B18" s="107"/>
      <c r="C18" s="106">
        <f t="shared" si="0"/>
        <v>13200</v>
      </c>
      <c r="J18" s="253"/>
    </row>
    <row r="19" spans="1:11">
      <c r="A19" s="106" t="s">
        <v>161</v>
      </c>
      <c r="B19" s="107"/>
      <c r="C19" s="106">
        <f t="shared" si="0"/>
        <v>13200</v>
      </c>
      <c r="F19" s="145"/>
    </row>
    <row r="20" spans="1:11">
      <c r="A20" s="106" t="s">
        <v>174</v>
      </c>
      <c r="B20" s="107"/>
      <c r="C20" s="106">
        <f t="shared" si="0"/>
        <v>13200</v>
      </c>
      <c r="F20" s="145"/>
    </row>
    <row r="21" spans="1:11">
      <c r="A21" s="106" t="s">
        <v>162</v>
      </c>
      <c r="B21" s="107"/>
      <c r="C21" s="106">
        <f t="shared" si="0"/>
        <v>13200</v>
      </c>
      <c r="F21" s="145"/>
    </row>
    <row r="22" spans="1:11">
      <c r="A22" s="106" t="s">
        <v>163</v>
      </c>
      <c r="B22" s="107"/>
      <c r="C22" s="106">
        <f t="shared" si="0"/>
        <v>13200</v>
      </c>
      <c r="F22" s="145"/>
    </row>
    <row r="23" spans="1:11">
      <c r="A23" s="106" t="s">
        <v>164</v>
      </c>
      <c r="B23" s="107"/>
      <c r="C23" s="106">
        <f t="shared" si="0"/>
        <v>13200</v>
      </c>
      <c r="F23" s="145"/>
    </row>
    <row r="24" spans="1:11">
      <c r="A24" s="106" t="s">
        <v>165</v>
      </c>
      <c r="B24" s="107"/>
      <c r="C24" s="106">
        <f t="shared" si="0"/>
        <v>13200</v>
      </c>
      <c r="F24" s="145"/>
    </row>
    <row r="25" spans="1:11">
      <c r="A25" s="106" t="s">
        <v>148</v>
      </c>
      <c r="B25" s="107"/>
      <c r="C25" s="106">
        <f t="shared" si="0"/>
        <v>13200</v>
      </c>
      <c r="F25" s="145"/>
      <c r="I25" s="103">
        <v>50.82</v>
      </c>
      <c r="J25" s="103">
        <v>13300</v>
      </c>
      <c r="K25" s="103">
        <f>I25*J25</f>
        <v>675906</v>
      </c>
    </row>
    <row r="26" spans="1:11">
      <c r="A26" s="106" t="s">
        <v>167</v>
      </c>
      <c r="B26" s="107"/>
      <c r="C26" s="106">
        <f t="shared" si="0"/>
        <v>13200</v>
      </c>
      <c r="F26" s="145"/>
      <c r="I26" s="103">
        <v>30</v>
      </c>
      <c r="J26" s="103">
        <v>39000</v>
      </c>
      <c r="K26" s="103">
        <f>I26*J26</f>
        <v>1170000</v>
      </c>
    </row>
    <row r="27" spans="1:11">
      <c r="A27" s="106" t="s">
        <v>463</v>
      </c>
      <c r="B27" s="107"/>
      <c r="C27" s="106">
        <f t="shared" si="0"/>
        <v>13200</v>
      </c>
      <c r="F27" s="145"/>
      <c r="K27" s="103">
        <f>SUM(K25:K26)</f>
        <v>1845906</v>
      </c>
    </row>
    <row r="28" spans="1:11">
      <c r="A28" s="106" t="s">
        <v>168</v>
      </c>
      <c r="B28" s="107"/>
      <c r="C28" s="106">
        <f t="shared" si="0"/>
        <v>13200</v>
      </c>
      <c r="F28" s="145"/>
      <c r="I28" s="103">
        <v>50.82</v>
      </c>
      <c r="J28" s="103">
        <v>13200</v>
      </c>
      <c r="K28" s="103">
        <f>I28*J28</f>
        <v>670824</v>
      </c>
    </row>
    <row r="29" spans="1:11">
      <c r="A29" s="106" t="s">
        <v>169</v>
      </c>
      <c r="B29" s="107"/>
      <c r="C29" s="106">
        <f t="shared" si="0"/>
        <v>13200</v>
      </c>
      <c r="F29" s="145"/>
      <c r="I29" s="103">
        <v>30</v>
      </c>
      <c r="J29" s="103">
        <v>35500</v>
      </c>
      <c r="K29" s="103">
        <f>I29*J29</f>
        <v>1065000</v>
      </c>
    </row>
    <row r="30" spans="1:11">
      <c r="A30" s="106" t="s">
        <v>464</v>
      </c>
      <c r="B30" s="107"/>
      <c r="C30" s="106">
        <f t="shared" si="0"/>
        <v>13200</v>
      </c>
      <c r="F30" s="145"/>
      <c r="K30" s="103">
        <f>SUM(K28:K29)</f>
        <v>1735824</v>
      </c>
    </row>
    <row r="31" spans="1:11">
      <c r="A31" s="106" t="s">
        <v>177</v>
      </c>
      <c r="B31" s="107"/>
      <c r="C31" s="106">
        <f t="shared" si="0"/>
        <v>13200</v>
      </c>
      <c r="F31" s="145"/>
      <c r="J31" s="253" t="s">
        <v>465</v>
      </c>
      <c r="K31" s="103">
        <f>K27-K30</f>
        <v>110082</v>
      </c>
    </row>
    <row r="32" spans="1:11">
      <c r="A32" s="106" t="s">
        <v>170</v>
      </c>
      <c r="B32" s="107"/>
      <c r="C32" s="106">
        <f t="shared" si="0"/>
        <v>13200</v>
      </c>
      <c r="F32" s="145"/>
    </row>
    <row r="33" spans="1:4">
      <c r="A33" s="272" t="s">
        <v>171</v>
      </c>
      <c r="B33" s="107"/>
      <c r="C33" s="106">
        <f t="shared" si="0"/>
        <v>13200</v>
      </c>
    </row>
    <row r="34" spans="1:4">
      <c r="A34" s="106" t="s">
        <v>172</v>
      </c>
      <c r="B34" s="107"/>
      <c r="C34" s="106">
        <f t="shared" si="0"/>
        <v>13200</v>
      </c>
    </row>
    <row r="35" spans="1:4">
      <c r="A35" s="106" t="s">
        <v>173</v>
      </c>
      <c r="B35" s="107"/>
      <c r="C35" s="106">
        <f t="shared" si="0"/>
        <v>13200</v>
      </c>
    </row>
    <row r="36" spans="1:4">
      <c r="A36" s="106" t="s">
        <v>181</v>
      </c>
      <c r="B36" s="106"/>
      <c r="C36" s="106">
        <f t="shared" si="0"/>
        <v>13200</v>
      </c>
    </row>
    <row r="37" spans="1:4">
      <c r="A37" s="106" t="s">
        <v>178</v>
      </c>
      <c r="B37" s="106"/>
      <c r="C37" s="106">
        <f t="shared" si="0"/>
        <v>13200</v>
      </c>
    </row>
    <row r="38" spans="1:4">
      <c r="A38" s="272" t="s">
        <v>466</v>
      </c>
      <c r="B38" s="106"/>
      <c r="C38" s="106">
        <f t="shared" si="0"/>
        <v>13200</v>
      </c>
      <c r="D38" s="253" t="s">
        <v>467</v>
      </c>
    </row>
    <row r="39" spans="1:4">
      <c r="A39" s="106" t="s">
        <v>179</v>
      </c>
      <c r="B39" s="106"/>
      <c r="C39" s="106">
        <f t="shared" si="0"/>
        <v>13200</v>
      </c>
    </row>
    <row r="40" spans="1:4">
      <c r="A40" s="106" t="s">
        <v>180</v>
      </c>
      <c r="B40" s="106"/>
      <c r="C40" s="106">
        <f t="shared" si="0"/>
        <v>13200</v>
      </c>
    </row>
  </sheetData>
  <phoneticPr fontId="4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B1:N22"/>
  <sheetViews>
    <sheetView zoomScale="80" zoomScaleNormal="80" workbookViewId="0">
      <selection activeCell="J37" sqref="J37"/>
    </sheetView>
  </sheetViews>
  <sheetFormatPr defaultColWidth="11.42578125" defaultRowHeight="15"/>
  <cols>
    <col min="1" max="1" width="6" style="146" customWidth="1"/>
    <col min="2" max="2" width="48.140625" style="146" customWidth="1"/>
    <col min="3" max="4" width="13.28515625" style="146" customWidth="1"/>
    <col min="5" max="8" width="11.42578125" style="146"/>
    <col min="9" max="9" width="10.28515625" style="146" customWidth="1"/>
    <col min="10" max="16384" width="11.42578125" style="146"/>
  </cols>
  <sheetData>
    <row r="1" spans="2:14">
      <c r="D1" s="174"/>
    </row>
    <row r="2" spans="2:14" ht="15" customHeight="1">
      <c r="B2" s="147" t="s">
        <v>468</v>
      </c>
      <c r="D2" s="174"/>
    </row>
    <row r="4" spans="2:14">
      <c r="B4" s="273" t="s">
        <v>469</v>
      </c>
      <c r="C4" s="274"/>
      <c r="D4" s="274"/>
      <c r="E4" s="148"/>
    </row>
    <row r="5" spans="2:14">
      <c r="B5" s="149"/>
      <c r="C5" s="150" t="s">
        <v>470</v>
      </c>
      <c r="D5" s="150" t="s">
        <v>471</v>
      </c>
      <c r="E5" s="148"/>
    </row>
    <row r="6" spans="2:14">
      <c r="B6" s="149" t="s">
        <v>472</v>
      </c>
      <c r="C6" s="218">
        <f>Oversikt!G7</f>
        <v>312935</v>
      </c>
      <c r="D6" s="218">
        <f>Oversikt!H7</f>
        <v>166735</v>
      </c>
      <c r="E6" s="148"/>
    </row>
    <row r="7" spans="2:14">
      <c r="B7" s="149" t="s">
        <v>473</v>
      </c>
      <c r="C7" s="153">
        <v>326500</v>
      </c>
      <c r="D7" s="153">
        <v>173600</v>
      </c>
      <c r="E7" s="148"/>
    </row>
    <row r="8" spans="2:14">
      <c r="B8" s="148"/>
      <c r="C8" s="254">
        <f>C7-C6</f>
        <v>13565</v>
      </c>
      <c r="D8" s="254">
        <f>D7-D6</f>
        <v>6865</v>
      </c>
      <c r="E8" s="148"/>
    </row>
    <row r="9" spans="2:14">
      <c r="B9" s="148"/>
      <c r="C9" s="151"/>
      <c r="D9" s="151"/>
      <c r="E9" s="148"/>
    </row>
    <row r="10" spans="2:14">
      <c r="B10" s="275" t="s">
        <v>474</v>
      </c>
      <c r="C10" s="276"/>
      <c r="D10" s="277"/>
      <c r="E10" s="148"/>
      <c r="F10" s="224"/>
      <c r="G10" s="224"/>
      <c r="N10" s="152"/>
    </row>
    <row r="11" spans="2:14">
      <c r="B11" s="278" t="s">
        <v>459</v>
      </c>
      <c r="C11" s="279"/>
      <c r="D11" s="150" t="s">
        <v>475</v>
      </c>
      <c r="E11" s="148"/>
      <c r="F11" s="220">
        <v>2024</v>
      </c>
      <c r="G11" s="220">
        <v>2025</v>
      </c>
      <c r="H11" s="220">
        <v>2026</v>
      </c>
      <c r="I11" s="220" t="s">
        <v>476</v>
      </c>
      <c r="N11" s="152"/>
    </row>
    <row r="12" spans="2:14">
      <c r="B12" s="278" t="s">
        <v>477</v>
      </c>
      <c r="C12" s="279"/>
      <c r="D12" s="153">
        <v>13200</v>
      </c>
      <c r="E12" s="148"/>
      <c r="F12" s="221">
        <v>12900</v>
      </c>
      <c r="G12" s="221">
        <v>13300</v>
      </c>
      <c r="H12" s="221">
        <v>13200</v>
      </c>
      <c r="I12" s="252">
        <f t="shared" ref="I12:I20" si="0">H12-G12</f>
        <v>-100</v>
      </c>
      <c r="N12" s="152"/>
    </row>
    <row r="13" spans="2:14">
      <c r="B13" s="278" t="s">
        <v>478</v>
      </c>
      <c r="C13" s="279"/>
      <c r="D13" s="153">
        <v>27100</v>
      </c>
      <c r="E13" s="148"/>
      <c r="F13" s="222">
        <v>25900</v>
      </c>
      <c r="G13" s="221">
        <v>25500</v>
      </c>
      <c r="H13" s="221">
        <v>27100</v>
      </c>
      <c r="I13" s="252">
        <f t="shared" si="0"/>
        <v>1600</v>
      </c>
      <c r="N13" s="152"/>
    </row>
    <row r="14" spans="2:14">
      <c r="B14" s="278" t="s">
        <v>479</v>
      </c>
      <c r="C14" s="279"/>
      <c r="D14" s="153">
        <v>35500</v>
      </c>
      <c r="F14" s="222">
        <v>29300</v>
      </c>
      <c r="G14" s="221">
        <v>32500</v>
      </c>
      <c r="H14" s="221">
        <v>35500</v>
      </c>
      <c r="I14" s="252">
        <f t="shared" si="0"/>
        <v>3000</v>
      </c>
      <c r="N14" s="152"/>
    </row>
    <row r="15" spans="2:14">
      <c r="B15" s="278" t="s">
        <v>480</v>
      </c>
      <c r="C15" s="279"/>
      <c r="D15" s="153">
        <v>41600</v>
      </c>
      <c r="F15" s="222">
        <v>36500</v>
      </c>
      <c r="G15" s="221">
        <v>39000</v>
      </c>
      <c r="H15" s="221">
        <v>41600</v>
      </c>
      <c r="I15" s="252">
        <f t="shared" si="0"/>
        <v>2600</v>
      </c>
      <c r="N15" s="152"/>
    </row>
    <row r="16" spans="2:14">
      <c r="B16" s="225" t="s">
        <v>481</v>
      </c>
      <c r="F16" s="224"/>
      <c r="G16" s="224"/>
      <c r="H16" s="224"/>
      <c r="I16" s="252"/>
      <c r="N16" s="152"/>
    </row>
    <row r="17" spans="2:14">
      <c r="F17" s="224"/>
      <c r="G17" s="224"/>
      <c r="H17" s="224"/>
      <c r="I17" s="252"/>
      <c r="N17" s="152"/>
    </row>
    <row r="18" spans="2:14">
      <c r="B18" s="275" t="s">
        <v>482</v>
      </c>
      <c r="C18" s="276"/>
      <c r="D18" s="277"/>
      <c r="F18" s="224"/>
      <c r="G18" s="224"/>
      <c r="H18" s="224"/>
      <c r="I18" s="252"/>
      <c r="N18" s="152"/>
    </row>
    <row r="19" spans="2:14">
      <c r="B19" s="278"/>
      <c r="C19" s="279"/>
      <c r="D19" s="150" t="s">
        <v>475</v>
      </c>
      <c r="F19" s="223">
        <v>2024</v>
      </c>
      <c r="G19" s="223">
        <v>2025</v>
      </c>
      <c r="H19" s="223">
        <v>2026</v>
      </c>
      <c r="I19" s="223" t="s">
        <v>483</v>
      </c>
      <c r="N19" s="152"/>
    </row>
    <row r="20" spans="2:14">
      <c r="B20" s="278" t="s">
        <v>484</v>
      </c>
      <c r="C20" s="279"/>
      <c r="D20" s="153">
        <v>26900</v>
      </c>
      <c r="F20" s="221">
        <v>26800</v>
      </c>
      <c r="G20" s="221">
        <v>27900</v>
      </c>
      <c r="H20" s="221">
        <v>26900</v>
      </c>
      <c r="I20" s="252">
        <f t="shared" si="0"/>
        <v>-1000</v>
      </c>
      <c r="L20" s="156"/>
      <c r="M20" s="2"/>
      <c r="N20" s="152"/>
    </row>
    <row r="21" spans="2:14">
      <c r="B21" s="278" t="s">
        <v>485</v>
      </c>
      <c r="C21" s="279"/>
      <c r="D21" s="153">
        <v>41300</v>
      </c>
      <c r="F21" s="221">
        <v>39200</v>
      </c>
      <c r="G21" s="221">
        <v>41300</v>
      </c>
      <c r="H21" s="221">
        <v>41300</v>
      </c>
      <c r="I21" s="252">
        <f>H21-G21</f>
        <v>0</v>
      </c>
      <c r="L21" s="156"/>
      <c r="M21" s="156"/>
      <c r="N21" s="152"/>
    </row>
    <row r="22" spans="2:14">
      <c r="J22" s="152"/>
    </row>
  </sheetData>
  <sheetProtection algorithmName="SHA-512" hashValue="vtXm59b7F/SnRvJOn8LGUavKY+0hZ5MleTsNKYuSGMPadnDg8HtpCBS3u9yHQmC5FgiY+6xQk4ef1kHoSRZmOA==" saltValue="qbmE3Oa7QoeqQTn8R8Cw4Q==" spinCount="100000" sheet="1" objects="1" scenarios="1"/>
  <mergeCells count="11">
    <mergeCell ref="B21:C21"/>
    <mergeCell ref="B20:C20"/>
    <mergeCell ref="B12:C12"/>
    <mergeCell ref="B13:C13"/>
    <mergeCell ref="B14:C14"/>
    <mergeCell ref="B15:C15"/>
    <mergeCell ref="B4:D4"/>
    <mergeCell ref="B11:C11"/>
    <mergeCell ref="B18:D18"/>
    <mergeCell ref="B10:D10"/>
    <mergeCell ref="B19:C19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4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D884-FB3E-4C1D-97CB-B5AFA77D1567}">
  <sheetPr>
    <tabColor theme="6" tint="-0.249977111117893"/>
    <pageSetUpPr fitToPage="1"/>
  </sheetPr>
  <dimension ref="B3:R200"/>
  <sheetViews>
    <sheetView zoomScaleNormal="100" workbookViewId="0">
      <pane ySplit="3" topLeftCell="A163" activePane="bottomLeft" state="frozenSplit"/>
      <selection pane="bottomLeft" activeCell="B203" sqref="B203"/>
    </sheetView>
  </sheetViews>
  <sheetFormatPr defaultColWidth="11.42578125" defaultRowHeight="12.75"/>
  <cols>
    <col min="1" max="1" width="11.42578125" style="177"/>
    <col min="2" max="2" width="50.28515625" style="177" bestFit="1" customWidth="1"/>
    <col min="3" max="6" width="14.7109375" style="177" hidden="1" customWidth="1"/>
    <col min="7" max="7" width="13.5703125" style="177" hidden="1" customWidth="1"/>
    <col min="8" max="11" width="13.5703125" style="177" customWidth="1"/>
    <col min="12" max="12" width="14.85546875" style="177" bestFit="1" customWidth="1"/>
    <col min="13" max="13" width="13.28515625" style="177" bestFit="1" customWidth="1"/>
    <col min="14" max="16384" width="11.42578125" style="177"/>
  </cols>
  <sheetData>
    <row r="3" spans="2:14" ht="20.25">
      <c r="B3" s="175" t="s">
        <v>486</v>
      </c>
      <c r="C3" s="176">
        <v>2018</v>
      </c>
      <c r="D3" s="176">
        <v>2019</v>
      </c>
      <c r="E3" s="176">
        <v>2020</v>
      </c>
      <c r="F3" s="176">
        <v>2021</v>
      </c>
      <c r="G3" s="176">
        <v>2022</v>
      </c>
      <c r="H3" s="176">
        <v>2023</v>
      </c>
      <c r="I3" s="176">
        <v>2024</v>
      </c>
      <c r="J3" s="176">
        <v>2025</v>
      </c>
      <c r="K3" s="176">
        <v>2026</v>
      </c>
      <c r="L3" s="176">
        <v>2027</v>
      </c>
      <c r="M3" s="176">
        <v>2028</v>
      </c>
      <c r="N3" s="176">
        <v>2029</v>
      </c>
    </row>
    <row r="4" spans="2:14" hidden="1">
      <c r="B4" s="178" t="s">
        <v>487</v>
      </c>
      <c r="C4" s="179">
        <v>250243000</v>
      </c>
      <c r="D4" s="179">
        <v>250243000</v>
      </c>
      <c r="E4" s="179">
        <v>250243000</v>
      </c>
      <c r="F4" s="179">
        <v>250243000</v>
      </c>
      <c r="G4" s="179"/>
    </row>
    <row r="5" spans="2:14" hidden="1">
      <c r="B5" s="177" t="s">
        <v>488</v>
      </c>
      <c r="C5" s="179">
        <v>3441000</v>
      </c>
      <c r="D5" s="179">
        <v>3287000</v>
      </c>
      <c r="E5" s="179">
        <v>3287000</v>
      </c>
      <c r="F5" s="179">
        <v>3287000</v>
      </c>
      <c r="G5" s="179"/>
    </row>
    <row r="6" spans="2:14" hidden="1">
      <c r="B6" s="177" t="s">
        <v>489</v>
      </c>
      <c r="C6" s="179">
        <v>86000</v>
      </c>
      <c r="D6" s="179">
        <v>82000</v>
      </c>
      <c r="E6" s="179">
        <v>82000</v>
      </c>
      <c r="F6" s="179">
        <v>82000</v>
      </c>
      <c r="G6" s="179"/>
    </row>
    <row r="7" spans="2:14" hidden="1">
      <c r="B7" s="177" t="s">
        <v>490</v>
      </c>
      <c r="C7" s="179">
        <v>752000</v>
      </c>
      <c r="D7" s="179">
        <v>752000</v>
      </c>
      <c r="E7" s="179">
        <v>752000</v>
      </c>
      <c r="F7" s="179">
        <v>752000</v>
      </c>
      <c r="G7" s="179"/>
    </row>
    <row r="8" spans="2:14" hidden="1">
      <c r="B8" s="180" t="s">
        <v>491</v>
      </c>
      <c r="C8" s="179">
        <v>6230000</v>
      </c>
      <c r="D8" s="179">
        <v>6230000</v>
      </c>
      <c r="E8" s="179">
        <v>6230000</v>
      </c>
      <c r="F8" s="179">
        <v>6230000</v>
      </c>
      <c r="G8" s="179"/>
    </row>
    <row r="9" spans="2:14" hidden="1">
      <c r="B9" s="178" t="s">
        <v>492</v>
      </c>
      <c r="C9" s="179">
        <v>-1734000</v>
      </c>
      <c r="D9" s="179">
        <v>-1734000</v>
      </c>
      <c r="E9" s="179">
        <v>-1734000</v>
      </c>
      <c r="F9" s="179">
        <v>-1734000</v>
      </c>
      <c r="G9" s="179"/>
    </row>
    <row r="10" spans="2:14" hidden="1">
      <c r="B10" s="177" t="s">
        <v>493</v>
      </c>
      <c r="C10" s="179">
        <v>2944000</v>
      </c>
      <c r="D10" s="179">
        <v>2944000</v>
      </c>
      <c r="E10" s="179">
        <v>2944000</v>
      </c>
      <c r="F10" s="179">
        <v>2944000</v>
      </c>
      <c r="G10" s="179"/>
    </row>
    <row r="11" spans="2:14" hidden="1">
      <c r="B11" s="178" t="s">
        <v>494</v>
      </c>
      <c r="C11" s="179">
        <v>-2024000</v>
      </c>
      <c r="D11" s="179">
        <v>-2024000</v>
      </c>
      <c r="E11" s="179">
        <v>-2024000</v>
      </c>
      <c r="F11" s="179">
        <v>-2024000</v>
      </c>
      <c r="G11" s="179"/>
    </row>
    <row r="12" spans="2:14" hidden="1">
      <c r="B12" s="178" t="s">
        <v>495</v>
      </c>
      <c r="C12" s="179">
        <v>0</v>
      </c>
      <c r="D12" s="179">
        <v>1500000</v>
      </c>
      <c r="E12" s="179">
        <v>1500000</v>
      </c>
      <c r="F12" s="179">
        <v>1500000</v>
      </c>
      <c r="G12" s="179"/>
    </row>
    <row r="13" spans="2:14" hidden="1">
      <c r="B13" s="177" t="s">
        <v>496</v>
      </c>
      <c r="C13" s="179">
        <v>0</v>
      </c>
      <c r="D13" s="179">
        <v>0</v>
      </c>
      <c r="E13" s="179">
        <v>4520000</v>
      </c>
      <c r="F13" s="179">
        <v>13120000</v>
      </c>
      <c r="G13" s="179"/>
      <c r="I13" s="181"/>
    </row>
    <row r="14" spans="2:14" hidden="1">
      <c r="B14" s="178" t="s">
        <v>497</v>
      </c>
      <c r="C14" s="179">
        <v>5771000</v>
      </c>
      <c r="D14" s="179">
        <v>5878000</v>
      </c>
      <c r="E14" s="179">
        <v>5878000</v>
      </c>
      <c r="F14" s="179">
        <v>5878000</v>
      </c>
      <c r="G14" s="179"/>
    </row>
    <row r="15" spans="2:14" hidden="1">
      <c r="B15" s="177" t="s">
        <v>498</v>
      </c>
      <c r="C15" s="179">
        <v>-160000</v>
      </c>
      <c r="D15" s="179">
        <v>-160000</v>
      </c>
      <c r="E15" s="179">
        <v>-160000</v>
      </c>
      <c r="F15" s="179">
        <v>-160000</v>
      </c>
      <c r="G15" s="179"/>
    </row>
    <row r="16" spans="2:14" ht="13.5" hidden="1" thickBot="1">
      <c r="B16" s="182" t="s">
        <v>499</v>
      </c>
      <c r="C16" s="183">
        <f>SUM(C4:C15)</f>
        <v>265549000</v>
      </c>
      <c r="D16" s="183">
        <f>SUM(D4:D15)</f>
        <v>266998000</v>
      </c>
      <c r="E16" s="183">
        <f>SUM(E4:E15)</f>
        <v>271518000</v>
      </c>
      <c r="F16" s="183">
        <f>SUM(F4:F15)</f>
        <v>280118000</v>
      </c>
      <c r="G16" s="183">
        <f>SUM(G4:G15)</f>
        <v>0</v>
      </c>
    </row>
    <row r="17" spans="2:7" hidden="1">
      <c r="D17" s="181"/>
      <c r="E17" s="181"/>
      <c r="F17" s="181"/>
    </row>
    <row r="18" spans="2:7" hidden="1"/>
    <row r="19" spans="2:7" hidden="1">
      <c r="B19" s="180" t="s">
        <v>500</v>
      </c>
      <c r="C19" s="181">
        <f>C16</f>
        <v>265549000</v>
      </c>
      <c r="D19" s="181">
        <v>265549000</v>
      </c>
      <c r="E19" s="181">
        <v>265549000</v>
      </c>
      <c r="F19" s="181">
        <v>265549000</v>
      </c>
      <c r="G19" s="181">
        <f t="shared" ref="G19:G24" si="0">F19</f>
        <v>265549000</v>
      </c>
    </row>
    <row r="20" spans="2:7" hidden="1">
      <c r="B20" s="180" t="s">
        <v>488</v>
      </c>
      <c r="C20" s="181"/>
      <c r="D20" s="181">
        <f>D5-C5</f>
        <v>-154000</v>
      </c>
      <c r="E20" s="181">
        <f>E5-C5</f>
        <v>-154000</v>
      </c>
      <c r="F20" s="181">
        <f>F5-C5</f>
        <v>-154000</v>
      </c>
      <c r="G20" s="181">
        <f t="shared" si="0"/>
        <v>-154000</v>
      </c>
    </row>
    <row r="21" spans="2:7" hidden="1">
      <c r="B21" s="180" t="s">
        <v>489</v>
      </c>
      <c r="C21" s="181"/>
      <c r="D21" s="181">
        <f>D6-C6</f>
        <v>-4000</v>
      </c>
      <c r="E21" s="181">
        <f>E6-C6</f>
        <v>-4000</v>
      </c>
      <c r="F21" s="181">
        <f>F6-C6</f>
        <v>-4000</v>
      </c>
      <c r="G21" s="181">
        <f t="shared" si="0"/>
        <v>-4000</v>
      </c>
    </row>
    <row r="22" spans="2:7" hidden="1">
      <c r="B22" s="180" t="s">
        <v>501</v>
      </c>
      <c r="C22" s="181"/>
      <c r="D22" s="184">
        <f>D12-C12</f>
        <v>1500000</v>
      </c>
      <c r="E22" s="181">
        <f>E12-C12</f>
        <v>1500000</v>
      </c>
      <c r="F22" s="181">
        <f>F12-C12</f>
        <v>1500000</v>
      </c>
      <c r="G22" s="181">
        <f t="shared" si="0"/>
        <v>1500000</v>
      </c>
    </row>
    <row r="23" spans="2:7" hidden="1">
      <c r="B23" s="180" t="s">
        <v>496</v>
      </c>
      <c r="C23" s="181"/>
      <c r="D23" s="181">
        <f>D13-C13</f>
        <v>0</v>
      </c>
      <c r="E23" s="181">
        <f>E13-C13</f>
        <v>4520000</v>
      </c>
      <c r="F23" s="181">
        <f>F13-C13</f>
        <v>13120000</v>
      </c>
      <c r="G23" s="181">
        <f t="shared" si="0"/>
        <v>13120000</v>
      </c>
    </row>
    <row r="24" spans="2:7" hidden="1">
      <c r="B24" s="180" t="s">
        <v>502</v>
      </c>
      <c r="C24" s="181"/>
      <c r="D24" s="181">
        <f>D14-C14</f>
        <v>107000</v>
      </c>
      <c r="E24" s="181">
        <f>E14-C14</f>
        <v>107000</v>
      </c>
      <c r="F24" s="181">
        <f>F14-C14</f>
        <v>107000</v>
      </c>
      <c r="G24" s="181">
        <f t="shared" si="0"/>
        <v>107000</v>
      </c>
    </row>
    <row r="25" spans="2:7" hidden="1">
      <c r="B25" s="185" t="s">
        <v>503</v>
      </c>
      <c r="C25" s="186"/>
      <c r="D25" s="186">
        <f>SUM(D19:D24)</f>
        <v>266998000</v>
      </c>
      <c r="E25" s="186">
        <f>SUM(E19:E24)</f>
        <v>271518000</v>
      </c>
      <c r="F25" s="186">
        <f>SUM(F19:F24)</f>
        <v>280118000</v>
      </c>
      <c r="G25" s="186">
        <f>SUM(G19:G24)</f>
        <v>280118000</v>
      </c>
    </row>
    <row r="26" spans="2:7" hidden="1">
      <c r="B26" s="177" t="s">
        <v>504</v>
      </c>
      <c r="C26" s="181"/>
      <c r="D26" s="181">
        <v>7745000</v>
      </c>
      <c r="E26" s="181">
        <v>7745000</v>
      </c>
      <c r="F26" s="181">
        <v>7745000</v>
      </c>
      <c r="G26" s="181">
        <v>7745000</v>
      </c>
    </row>
    <row r="27" spans="2:7" hidden="1">
      <c r="B27" s="177" t="s">
        <v>505</v>
      </c>
      <c r="C27" s="181"/>
      <c r="D27" s="181">
        <v>1336000</v>
      </c>
      <c r="E27" s="181">
        <v>1336000</v>
      </c>
      <c r="F27" s="181">
        <v>1336000</v>
      </c>
      <c r="G27" s="181">
        <v>1336000</v>
      </c>
    </row>
    <row r="28" spans="2:7" hidden="1">
      <c r="B28" s="177" t="s">
        <v>506</v>
      </c>
      <c r="C28" s="181"/>
      <c r="D28" s="181">
        <v>362000</v>
      </c>
      <c r="E28" s="181">
        <v>362000</v>
      </c>
      <c r="F28" s="181">
        <v>362000</v>
      </c>
      <c r="G28" s="181">
        <v>362000</v>
      </c>
    </row>
    <row r="29" spans="2:7" hidden="1">
      <c r="B29" s="180" t="s">
        <v>507</v>
      </c>
      <c r="C29" s="181"/>
      <c r="D29" s="181">
        <v>0</v>
      </c>
      <c r="E29" s="181">
        <v>0</v>
      </c>
      <c r="F29" s="181">
        <v>0</v>
      </c>
      <c r="G29" s="181">
        <v>0</v>
      </c>
    </row>
    <row r="30" spans="2:7" hidden="1">
      <c r="B30" s="178" t="s">
        <v>508</v>
      </c>
      <c r="C30" s="181"/>
      <c r="D30" s="181">
        <v>0</v>
      </c>
      <c r="E30" s="181">
        <f>ROUNDDOWN(E23*3.4%,-3)</f>
        <v>153000</v>
      </c>
      <c r="F30" s="181">
        <f>ROUNDDOWN(F23*3.4%,-3)</f>
        <v>446000</v>
      </c>
      <c r="G30" s="181">
        <f>ROUNDDOWN(G23*3.4%,-3)</f>
        <v>446000</v>
      </c>
    </row>
    <row r="31" spans="2:7" ht="13.5" hidden="1" thickBot="1">
      <c r="B31" s="182" t="s">
        <v>509</v>
      </c>
      <c r="C31" s="183"/>
      <c r="D31" s="183">
        <f>SUM(D25:D30)</f>
        <v>276441000</v>
      </c>
      <c r="E31" s="183">
        <f>SUM(E25:E30)</f>
        <v>281114000</v>
      </c>
      <c r="F31" s="183">
        <f>SUM(F25:F30)</f>
        <v>290007000</v>
      </c>
      <c r="G31" s="183">
        <f>SUM(G25:G30)</f>
        <v>290007000</v>
      </c>
    </row>
    <row r="32" spans="2:7" hidden="1"/>
    <row r="33" spans="2:10" hidden="1"/>
    <row r="34" spans="2:10" hidden="1">
      <c r="B34" s="180" t="s">
        <v>510</v>
      </c>
      <c r="C34" s="181"/>
      <c r="D34" s="181">
        <f>D31</f>
        <v>276441000</v>
      </c>
      <c r="E34" s="181">
        <v>276441000</v>
      </c>
      <c r="F34" s="181">
        <v>276441000</v>
      </c>
      <c r="G34" s="181">
        <v>276441000</v>
      </c>
      <c r="H34" s="181">
        <v>276441000</v>
      </c>
    </row>
    <row r="35" spans="2:10" hidden="1">
      <c r="B35" s="180" t="s">
        <v>496</v>
      </c>
      <c r="C35" s="181"/>
      <c r="D35" s="181"/>
      <c r="E35" s="181">
        <v>4520000</v>
      </c>
      <c r="F35" s="181">
        <v>13120000</v>
      </c>
      <c r="G35" s="181">
        <v>13120000</v>
      </c>
      <c r="H35" s="181">
        <f>G35</f>
        <v>13120000</v>
      </c>
    </row>
    <row r="36" spans="2:10" hidden="1">
      <c r="B36" s="180" t="s">
        <v>508</v>
      </c>
      <c r="C36" s="181"/>
      <c r="D36" s="181"/>
      <c r="E36" s="181">
        <v>153000</v>
      </c>
      <c r="F36" s="181">
        <v>446000</v>
      </c>
      <c r="G36" s="181">
        <v>446000</v>
      </c>
      <c r="H36" s="181">
        <v>446000</v>
      </c>
    </row>
    <row r="37" spans="2:10" hidden="1">
      <c r="B37" s="180" t="s">
        <v>511</v>
      </c>
      <c r="C37" s="180"/>
      <c r="D37" s="181"/>
      <c r="E37" s="181">
        <v>-1404000</v>
      </c>
      <c r="F37" s="181">
        <v>-1404000</v>
      </c>
      <c r="G37" s="181">
        <v>-1404000</v>
      </c>
      <c r="H37" s="181">
        <v>-1404000</v>
      </c>
    </row>
    <row r="38" spans="2:10" hidden="1">
      <c r="B38" s="187" t="s">
        <v>512</v>
      </c>
      <c r="C38" s="188"/>
      <c r="D38" s="189"/>
      <c r="E38" s="189">
        <v>-6800000</v>
      </c>
      <c r="F38" s="189">
        <v>-6800000</v>
      </c>
      <c r="G38" s="189">
        <v>-6800000</v>
      </c>
      <c r="H38" s="189">
        <v>-6800000</v>
      </c>
    </row>
    <row r="39" spans="2:10" hidden="1">
      <c r="B39" s="190" t="s">
        <v>513</v>
      </c>
      <c r="C39" s="191"/>
      <c r="D39" s="189"/>
      <c r="E39" s="189">
        <f>SUM(E34:E38)</f>
        <v>272910000</v>
      </c>
      <c r="F39" s="189">
        <f>SUM(F34:F38)</f>
        <v>281803000</v>
      </c>
      <c r="G39" s="189">
        <f>SUM(G34:G38)</f>
        <v>281803000</v>
      </c>
      <c r="H39" s="189">
        <f>SUM(H34:H38)</f>
        <v>281803000</v>
      </c>
    </row>
    <row r="40" spans="2:10" hidden="1">
      <c r="B40" s="192" t="s">
        <v>514</v>
      </c>
      <c r="D40" s="181"/>
      <c r="E40" s="181">
        <v>8185000</v>
      </c>
      <c r="F40" s="181">
        <v>8452000</v>
      </c>
      <c r="G40" s="181">
        <v>8452000</v>
      </c>
      <c r="H40" s="181">
        <v>8452000</v>
      </c>
      <c r="J40" s="181"/>
    </row>
    <row r="41" spans="2:10" hidden="1">
      <c r="B41" s="192" t="s">
        <v>515</v>
      </c>
      <c r="D41" s="181"/>
      <c r="E41" s="181">
        <v>1360000</v>
      </c>
      <c r="F41" s="181">
        <v>1405000</v>
      </c>
      <c r="G41" s="181">
        <v>1405000</v>
      </c>
      <c r="H41" s="181">
        <v>1405000</v>
      </c>
    </row>
    <row r="42" spans="2:10" hidden="1">
      <c r="B42" s="192" t="s">
        <v>516</v>
      </c>
      <c r="D42" s="181"/>
      <c r="E42" s="181">
        <v>4529000</v>
      </c>
      <c r="F42" s="181">
        <v>4529000</v>
      </c>
      <c r="G42" s="181">
        <v>4529000</v>
      </c>
      <c r="H42" s="181">
        <v>4529000</v>
      </c>
    </row>
    <row r="43" spans="2:10" hidden="1">
      <c r="B43" s="177" t="s">
        <v>517</v>
      </c>
      <c r="D43" s="181"/>
      <c r="E43" s="181">
        <v>280000</v>
      </c>
      <c r="F43" s="181">
        <v>289000</v>
      </c>
      <c r="G43" s="181">
        <v>289000</v>
      </c>
      <c r="H43" s="181">
        <v>289000</v>
      </c>
    </row>
    <row r="44" spans="2:10" ht="13.5" hidden="1" thickBot="1">
      <c r="B44" s="182" t="s">
        <v>518</v>
      </c>
      <c r="C44" s="183"/>
      <c r="D44" s="183"/>
      <c r="E44" s="183">
        <f>SUM(E39:E43)</f>
        <v>287264000</v>
      </c>
      <c r="F44" s="183">
        <f>SUM(F39:F43)</f>
        <v>296478000</v>
      </c>
      <c r="G44" s="183">
        <f>SUM(G39:G43)</f>
        <v>296478000</v>
      </c>
      <c r="H44" s="183">
        <f>SUM(H39:H43)</f>
        <v>296478000</v>
      </c>
    </row>
    <row r="45" spans="2:10" hidden="1">
      <c r="D45" s="181"/>
      <c r="E45" s="181"/>
      <c r="F45" s="181"/>
      <c r="G45" s="181"/>
      <c r="H45" s="181"/>
    </row>
    <row r="46" spans="2:10" hidden="1">
      <c r="B46" s="180" t="s">
        <v>519</v>
      </c>
      <c r="C46" s="181"/>
      <c r="D46" s="181"/>
      <c r="E46" s="181">
        <f>E44</f>
        <v>287264000</v>
      </c>
      <c r="F46" s="181">
        <f>F44</f>
        <v>296478000</v>
      </c>
      <c r="G46" s="181">
        <f>G44</f>
        <v>296478000</v>
      </c>
      <c r="H46" s="181">
        <f>H44</f>
        <v>296478000</v>
      </c>
      <c r="I46" s="181">
        <f t="shared" ref="I46:I53" si="1">H46</f>
        <v>296478000</v>
      </c>
    </row>
    <row r="47" spans="2:10" hidden="1">
      <c r="B47" s="180" t="s">
        <v>520</v>
      </c>
      <c r="C47" s="181"/>
      <c r="D47" s="181"/>
      <c r="E47" s="181"/>
      <c r="F47" s="181">
        <v>6224000</v>
      </c>
      <c r="G47" s="181">
        <f t="shared" ref="G47:H53" si="2">F47</f>
        <v>6224000</v>
      </c>
      <c r="H47" s="181">
        <f t="shared" si="2"/>
        <v>6224000</v>
      </c>
      <c r="I47" s="181">
        <f t="shared" si="1"/>
        <v>6224000</v>
      </c>
    </row>
    <row r="48" spans="2:10" hidden="1">
      <c r="B48" s="180" t="s">
        <v>515</v>
      </c>
      <c r="C48" s="181"/>
      <c r="D48" s="181"/>
      <c r="E48" s="181"/>
      <c r="F48" s="181">
        <v>1186000</v>
      </c>
      <c r="G48" s="181">
        <f t="shared" si="2"/>
        <v>1186000</v>
      </c>
      <c r="H48" s="181">
        <f t="shared" si="2"/>
        <v>1186000</v>
      </c>
      <c r="I48" s="181">
        <f t="shared" si="1"/>
        <v>1186000</v>
      </c>
    </row>
    <row r="49" spans="2:10" hidden="1">
      <c r="B49" s="180" t="s">
        <v>521</v>
      </c>
      <c r="C49" s="180"/>
      <c r="D49" s="181"/>
      <c r="E49" s="181"/>
      <c r="F49" s="181">
        <v>727000</v>
      </c>
      <c r="G49" s="181">
        <f t="shared" si="2"/>
        <v>727000</v>
      </c>
      <c r="H49" s="181">
        <f t="shared" si="2"/>
        <v>727000</v>
      </c>
      <c r="I49" s="181">
        <f t="shared" si="1"/>
        <v>727000</v>
      </c>
    </row>
    <row r="50" spans="2:10" hidden="1">
      <c r="B50" s="187" t="s">
        <v>522</v>
      </c>
      <c r="C50" s="180"/>
      <c r="D50" s="181"/>
      <c r="E50" s="181"/>
      <c r="F50" s="181">
        <v>-892000</v>
      </c>
      <c r="G50" s="181">
        <f t="shared" si="2"/>
        <v>-892000</v>
      </c>
      <c r="H50" s="181">
        <f t="shared" si="2"/>
        <v>-892000</v>
      </c>
      <c r="I50" s="181">
        <f t="shared" si="1"/>
        <v>-892000</v>
      </c>
    </row>
    <row r="51" spans="2:10" hidden="1">
      <c r="B51" s="192" t="s">
        <v>523</v>
      </c>
      <c r="D51" s="181"/>
      <c r="E51" s="181"/>
      <c r="F51" s="181">
        <v>2000000</v>
      </c>
      <c r="G51" s="181">
        <f t="shared" si="2"/>
        <v>2000000</v>
      </c>
      <c r="H51" s="181">
        <f t="shared" si="2"/>
        <v>2000000</v>
      </c>
      <c r="I51" s="181">
        <f t="shared" si="1"/>
        <v>2000000</v>
      </c>
    </row>
    <row r="52" spans="2:10" hidden="1">
      <c r="B52" s="192" t="s">
        <v>524</v>
      </c>
      <c r="D52" s="181"/>
      <c r="E52" s="181"/>
      <c r="F52" s="181">
        <v>-2589000</v>
      </c>
      <c r="G52" s="181">
        <f t="shared" si="2"/>
        <v>-2589000</v>
      </c>
      <c r="H52" s="181">
        <f t="shared" si="2"/>
        <v>-2589000</v>
      </c>
      <c r="I52" s="181">
        <f t="shared" si="1"/>
        <v>-2589000</v>
      </c>
      <c r="J52" s="181"/>
    </row>
    <row r="53" spans="2:10" hidden="1">
      <c r="B53" s="192" t="s">
        <v>525</v>
      </c>
      <c r="D53" s="181"/>
      <c r="E53" s="181"/>
      <c r="F53" s="181">
        <v>3639000</v>
      </c>
      <c r="G53" s="181">
        <f t="shared" si="2"/>
        <v>3639000</v>
      </c>
      <c r="H53" s="181">
        <f t="shared" si="2"/>
        <v>3639000</v>
      </c>
      <c r="I53" s="181">
        <f t="shared" si="1"/>
        <v>3639000</v>
      </c>
    </row>
    <row r="54" spans="2:10" ht="13.5" hidden="1" thickBot="1">
      <c r="B54" s="182" t="s">
        <v>526</v>
      </c>
      <c r="C54" s="183"/>
      <c r="D54" s="183"/>
      <c r="E54" s="183"/>
      <c r="F54" s="183">
        <f>SUM(F46:F53)</f>
        <v>306773000</v>
      </c>
      <c r="G54" s="183">
        <f>SUM(G46:G53)</f>
        <v>306773000</v>
      </c>
      <c r="H54" s="183">
        <f>SUM(H46:H53)</f>
        <v>306773000</v>
      </c>
      <c r="I54" s="183">
        <f>SUM(I46:I53)</f>
        <v>306773000</v>
      </c>
    </row>
    <row r="55" spans="2:10" hidden="1"/>
    <row r="56" spans="2:10" hidden="1">
      <c r="B56" s="192" t="s">
        <v>527</v>
      </c>
      <c r="E56" s="181">
        <v>-1727000</v>
      </c>
    </row>
    <row r="57" spans="2:10" hidden="1"/>
    <row r="58" spans="2:10" hidden="1">
      <c r="B58" s="180" t="s">
        <v>528</v>
      </c>
      <c r="C58" s="181"/>
      <c r="D58" s="181"/>
      <c r="E58" s="181"/>
      <c r="F58" s="181">
        <f>F54</f>
        <v>306773000</v>
      </c>
      <c r="G58" s="181">
        <f>G54</f>
        <v>306773000</v>
      </c>
      <c r="H58" s="181">
        <f>H54</f>
        <v>306773000</v>
      </c>
      <c r="I58" s="181">
        <f>I54</f>
        <v>306773000</v>
      </c>
      <c r="J58" s="181">
        <f>I58</f>
        <v>306773000</v>
      </c>
    </row>
    <row r="59" spans="2:10" hidden="1">
      <c r="B59" s="180" t="s">
        <v>529</v>
      </c>
      <c r="C59" s="181"/>
      <c r="D59" s="181"/>
      <c r="E59" s="181"/>
      <c r="F59" s="181">
        <f>-1267000*0</f>
        <v>0</v>
      </c>
      <c r="G59" s="181">
        <f>-2589000*0</f>
        <v>0</v>
      </c>
      <c r="H59" s="181">
        <f t="shared" ref="H59:I61" si="3">G59</f>
        <v>0</v>
      </c>
      <c r="I59" s="181">
        <f t="shared" si="3"/>
        <v>0</v>
      </c>
      <c r="J59" s="181">
        <f>I59</f>
        <v>0</v>
      </c>
    </row>
    <row r="60" spans="2:10" hidden="1">
      <c r="B60" s="180" t="s">
        <v>530</v>
      </c>
      <c r="C60" s="181"/>
      <c r="D60" s="181"/>
      <c r="E60" s="181"/>
      <c r="F60" s="181"/>
      <c r="G60" s="181">
        <v>8590000</v>
      </c>
      <c r="H60" s="181">
        <f t="shared" si="3"/>
        <v>8590000</v>
      </c>
      <c r="I60" s="181">
        <f t="shared" si="3"/>
        <v>8590000</v>
      </c>
      <c r="J60" s="181">
        <f>I60</f>
        <v>8590000</v>
      </c>
    </row>
    <row r="61" spans="2:10" hidden="1">
      <c r="B61" s="180" t="s">
        <v>531</v>
      </c>
      <c r="C61" s="180"/>
      <c r="D61" s="181"/>
      <c r="E61" s="181"/>
      <c r="F61" s="181">
        <v>65000</v>
      </c>
      <c r="G61" s="181">
        <v>66000</v>
      </c>
      <c r="H61" s="181">
        <f t="shared" si="3"/>
        <v>66000</v>
      </c>
      <c r="I61" s="181">
        <f t="shared" si="3"/>
        <v>66000</v>
      </c>
      <c r="J61" s="181">
        <f>I61</f>
        <v>66000</v>
      </c>
    </row>
    <row r="62" spans="2:10" hidden="1">
      <c r="B62" s="193" t="s">
        <v>532</v>
      </c>
      <c r="C62" s="180"/>
      <c r="D62" s="181"/>
      <c r="E62" s="181"/>
      <c r="F62" s="181">
        <v>4000000</v>
      </c>
      <c r="G62" s="181"/>
      <c r="H62" s="181"/>
      <c r="I62" s="181"/>
      <c r="J62" s="181"/>
    </row>
    <row r="63" spans="2:10" hidden="1">
      <c r="B63" s="193" t="s">
        <v>533</v>
      </c>
      <c r="C63" s="180"/>
      <c r="D63" s="181"/>
      <c r="E63" s="181"/>
      <c r="F63" s="181">
        <v>835000</v>
      </c>
      <c r="G63" s="181"/>
      <c r="H63" s="181"/>
      <c r="I63" s="181"/>
      <c r="J63" s="181"/>
    </row>
    <row r="64" spans="2:10" hidden="1">
      <c r="B64" s="187" t="s">
        <v>534</v>
      </c>
      <c r="C64" s="180"/>
      <c r="D64" s="181"/>
      <c r="E64" s="181"/>
      <c r="F64" s="184">
        <v>-750000</v>
      </c>
      <c r="G64" s="181">
        <v>0</v>
      </c>
      <c r="H64" s="181">
        <f t="shared" ref="H64:J68" si="4">G64</f>
        <v>0</v>
      </c>
      <c r="I64" s="181">
        <f t="shared" si="4"/>
        <v>0</v>
      </c>
      <c r="J64" s="181">
        <f t="shared" si="4"/>
        <v>0</v>
      </c>
    </row>
    <row r="65" spans="2:12" hidden="1">
      <c r="B65" s="187" t="s">
        <v>535</v>
      </c>
      <c r="C65" s="180"/>
      <c r="D65" s="181"/>
      <c r="E65" s="181"/>
      <c r="F65" s="184"/>
      <c r="G65" s="181">
        <v>-750000</v>
      </c>
      <c r="H65" s="181">
        <f t="shared" si="4"/>
        <v>-750000</v>
      </c>
      <c r="I65" s="181">
        <f t="shared" si="4"/>
        <v>-750000</v>
      </c>
      <c r="J65" s="181">
        <f t="shared" si="4"/>
        <v>-750000</v>
      </c>
    </row>
    <row r="66" spans="2:12" hidden="1">
      <c r="B66" s="192" t="s">
        <v>536</v>
      </c>
      <c r="D66" s="181"/>
      <c r="E66" s="181"/>
      <c r="F66" s="184">
        <v>1278000</v>
      </c>
      <c r="G66" s="181">
        <v>1309000</v>
      </c>
      <c r="H66" s="181">
        <f t="shared" si="4"/>
        <v>1309000</v>
      </c>
      <c r="I66" s="181">
        <f t="shared" si="4"/>
        <v>1309000</v>
      </c>
      <c r="J66" s="181">
        <f t="shared" si="4"/>
        <v>1309000</v>
      </c>
    </row>
    <row r="67" spans="2:12" hidden="1">
      <c r="B67" s="192" t="s">
        <v>537</v>
      </c>
      <c r="D67" s="181"/>
      <c r="E67" s="181"/>
      <c r="F67" s="181">
        <v>3600000</v>
      </c>
      <c r="G67" s="181">
        <v>0</v>
      </c>
      <c r="H67" s="181">
        <f t="shared" si="4"/>
        <v>0</v>
      </c>
      <c r="I67" s="181">
        <f t="shared" si="4"/>
        <v>0</v>
      </c>
      <c r="J67" s="181">
        <f t="shared" si="4"/>
        <v>0</v>
      </c>
    </row>
    <row r="68" spans="2:12" hidden="1">
      <c r="B68" s="192" t="s">
        <v>538</v>
      </c>
      <c r="D68" s="181"/>
      <c r="E68" s="181"/>
      <c r="F68" s="181">
        <v>475000</v>
      </c>
      <c r="G68" s="181">
        <v>0</v>
      </c>
      <c r="H68" s="181">
        <f t="shared" si="4"/>
        <v>0</v>
      </c>
      <c r="I68" s="181">
        <f t="shared" si="4"/>
        <v>0</v>
      </c>
      <c r="J68" s="181">
        <f t="shared" si="4"/>
        <v>0</v>
      </c>
    </row>
    <row r="69" spans="2:12" hidden="1">
      <c r="B69" s="178" t="s">
        <v>539</v>
      </c>
      <c r="F69" s="194"/>
      <c r="G69" s="189">
        <f>SUM(G58:G68)</f>
        <v>315988000</v>
      </c>
      <c r="H69" s="189">
        <f>SUM(H58:H68)</f>
        <v>315988000</v>
      </c>
      <c r="I69" s="189">
        <f>SUM(I58:I68)</f>
        <v>315988000</v>
      </c>
      <c r="J69" s="189">
        <f>SUM(J58:J68)</f>
        <v>315988000</v>
      </c>
      <c r="K69" s="178"/>
    </row>
    <row r="70" spans="2:12" hidden="1">
      <c r="B70" s="177" t="s">
        <v>540</v>
      </c>
      <c r="F70" s="181"/>
    </row>
    <row r="71" spans="2:12" hidden="1">
      <c r="B71" s="177" t="s">
        <v>541</v>
      </c>
      <c r="F71" s="181"/>
      <c r="G71" s="181">
        <v>2564000</v>
      </c>
      <c r="H71" s="181">
        <f t="shared" ref="H71:J75" si="5">G71</f>
        <v>2564000</v>
      </c>
      <c r="I71" s="181">
        <f t="shared" si="5"/>
        <v>2564000</v>
      </c>
      <c r="J71" s="181">
        <f t="shared" si="5"/>
        <v>2564000</v>
      </c>
    </row>
    <row r="72" spans="2:12" hidden="1">
      <c r="B72" s="177" t="s">
        <v>542</v>
      </c>
      <c r="G72" s="181">
        <v>-1812000</v>
      </c>
      <c r="H72" s="181">
        <f t="shared" si="5"/>
        <v>-1812000</v>
      </c>
      <c r="I72" s="181">
        <f t="shared" si="5"/>
        <v>-1812000</v>
      </c>
      <c r="J72" s="181">
        <f t="shared" si="5"/>
        <v>-1812000</v>
      </c>
    </row>
    <row r="73" spans="2:12" hidden="1">
      <c r="B73" s="177" t="s">
        <v>543</v>
      </c>
      <c r="G73" s="181">
        <v>-2733000</v>
      </c>
      <c r="H73" s="181">
        <f t="shared" si="5"/>
        <v>-2733000</v>
      </c>
      <c r="I73" s="181">
        <f t="shared" si="5"/>
        <v>-2733000</v>
      </c>
      <c r="J73" s="181">
        <f t="shared" si="5"/>
        <v>-2733000</v>
      </c>
    </row>
    <row r="74" spans="2:12" hidden="1">
      <c r="B74" s="177" t="s">
        <v>544</v>
      </c>
      <c r="F74" s="181"/>
      <c r="G74" s="181">
        <v>-2080000</v>
      </c>
      <c r="H74" s="181">
        <f t="shared" si="5"/>
        <v>-2080000</v>
      </c>
      <c r="I74" s="181">
        <f t="shared" si="5"/>
        <v>-2080000</v>
      </c>
      <c r="J74" s="181">
        <f t="shared" si="5"/>
        <v>-2080000</v>
      </c>
    </row>
    <row r="75" spans="2:12" hidden="1">
      <c r="B75" s="177" t="s">
        <v>545</v>
      </c>
      <c r="G75" s="181">
        <v>591000</v>
      </c>
      <c r="H75" s="181">
        <f t="shared" si="5"/>
        <v>591000</v>
      </c>
      <c r="I75" s="181">
        <f t="shared" si="5"/>
        <v>591000</v>
      </c>
      <c r="J75" s="181">
        <f t="shared" si="5"/>
        <v>591000</v>
      </c>
    </row>
    <row r="76" spans="2:12" hidden="1">
      <c r="B76" s="177" t="s">
        <v>546</v>
      </c>
      <c r="G76" s="181">
        <v>8495000</v>
      </c>
      <c r="H76" s="181">
        <v>0</v>
      </c>
      <c r="I76" s="181">
        <f t="shared" ref="I76:J80" si="6">H76</f>
        <v>0</v>
      </c>
      <c r="J76" s="181">
        <f t="shared" si="6"/>
        <v>0</v>
      </c>
    </row>
    <row r="77" spans="2:12" hidden="1">
      <c r="B77" s="177" t="s">
        <v>547</v>
      </c>
      <c r="G77" s="181">
        <v>2594000</v>
      </c>
      <c r="H77" s="181">
        <f>G77</f>
        <v>2594000</v>
      </c>
      <c r="I77" s="181">
        <f t="shared" si="6"/>
        <v>2594000</v>
      </c>
      <c r="J77" s="181">
        <f t="shared" si="6"/>
        <v>2594000</v>
      </c>
      <c r="L77" s="177">
        <v>3344000</v>
      </c>
    </row>
    <row r="78" spans="2:12" hidden="1">
      <c r="B78" s="177" t="s">
        <v>548</v>
      </c>
      <c r="G78" s="181">
        <v>-3282000</v>
      </c>
      <c r="H78" s="181">
        <f>G78</f>
        <v>-3282000</v>
      </c>
      <c r="I78" s="181">
        <f t="shared" si="6"/>
        <v>-3282000</v>
      </c>
      <c r="J78" s="181">
        <f t="shared" si="6"/>
        <v>-3282000</v>
      </c>
    </row>
    <row r="79" spans="2:12" hidden="1">
      <c r="B79" s="177" t="s">
        <v>549</v>
      </c>
      <c r="G79" s="181">
        <v>2365000</v>
      </c>
      <c r="H79" s="181">
        <f>G79</f>
        <v>2365000</v>
      </c>
      <c r="I79" s="181">
        <f t="shared" si="6"/>
        <v>2365000</v>
      </c>
      <c r="J79" s="181">
        <f t="shared" si="6"/>
        <v>2365000</v>
      </c>
    </row>
    <row r="80" spans="2:12" hidden="1">
      <c r="G80" s="181"/>
      <c r="H80" s="181">
        <v>0</v>
      </c>
      <c r="I80" s="181">
        <f t="shared" si="6"/>
        <v>0</v>
      </c>
      <c r="J80" s="181">
        <f t="shared" si="6"/>
        <v>0</v>
      </c>
    </row>
    <row r="81" spans="2:11" ht="13.5" hidden="1" thickBot="1">
      <c r="B81" s="182" t="s">
        <v>550</v>
      </c>
      <c r="C81" s="183"/>
      <c r="D81" s="183"/>
      <c r="E81" s="183"/>
      <c r="F81" s="183"/>
      <c r="G81" s="183">
        <f>SUM(G69:G80)</f>
        <v>322690000</v>
      </c>
      <c r="H81" s="183">
        <f>SUM(H69:H80)</f>
        <v>314195000</v>
      </c>
      <c r="I81" s="183">
        <f>SUM(I69:I80)</f>
        <v>314195000</v>
      </c>
      <c r="J81" s="183">
        <f>SUM(J69:J80)</f>
        <v>314195000</v>
      </c>
    </row>
    <row r="82" spans="2:11" hidden="1"/>
    <row r="83" spans="2:11" hidden="1">
      <c r="B83" s="177" t="s">
        <v>551</v>
      </c>
      <c r="G83" s="181">
        <f>G81-G76</f>
        <v>314195000</v>
      </c>
      <c r="H83" s="181"/>
    </row>
    <row r="84" spans="2:11" hidden="1">
      <c r="B84" s="177" t="s">
        <v>552</v>
      </c>
      <c r="G84" s="181">
        <f>G81-G83</f>
        <v>8495000</v>
      </c>
    </row>
    <row r="85" spans="2:11" hidden="1">
      <c r="B85" s="180" t="s">
        <v>553</v>
      </c>
      <c r="C85" s="181"/>
      <c r="D85" s="181"/>
      <c r="E85" s="181"/>
      <c r="F85" s="181"/>
      <c r="G85" s="181">
        <f>G81</f>
        <v>322690000</v>
      </c>
      <c r="H85" s="181">
        <f>H81</f>
        <v>314195000</v>
      </c>
      <c r="I85" s="181">
        <f>I81</f>
        <v>314195000</v>
      </c>
      <c r="J85" s="181">
        <f>I85</f>
        <v>314195000</v>
      </c>
      <c r="K85" s="181">
        <f>J85</f>
        <v>314195000</v>
      </c>
    </row>
    <row r="86" spans="2:11" hidden="1">
      <c r="B86" s="180" t="s">
        <v>554</v>
      </c>
      <c r="C86" s="181"/>
      <c r="D86" s="181"/>
      <c r="E86" s="181"/>
      <c r="F86" s="181"/>
      <c r="G86" s="181"/>
      <c r="H86" s="181">
        <v>130000</v>
      </c>
      <c r="I86" s="181">
        <v>130000</v>
      </c>
      <c r="J86" s="181">
        <v>130000</v>
      </c>
      <c r="K86" s="181">
        <v>130000</v>
      </c>
    </row>
    <row r="87" spans="2:11" hidden="1">
      <c r="B87" s="180" t="s">
        <v>555</v>
      </c>
      <c r="C87" s="181"/>
      <c r="D87" s="181"/>
      <c r="E87" s="181"/>
      <c r="F87" s="181"/>
      <c r="G87" s="181"/>
      <c r="H87" s="195">
        <f>H85+H86</f>
        <v>314325000</v>
      </c>
      <c r="I87" s="210">
        <f>I85+I86</f>
        <v>314325000</v>
      </c>
      <c r="J87" s="210">
        <f>J85+J86</f>
        <v>314325000</v>
      </c>
      <c r="K87" s="210">
        <f>K85+K86</f>
        <v>314325000</v>
      </c>
    </row>
    <row r="88" spans="2:11" hidden="1">
      <c r="B88" s="180" t="s">
        <v>556</v>
      </c>
      <c r="C88" s="181"/>
      <c r="D88" s="181"/>
      <c r="E88" s="181"/>
      <c r="F88" s="181"/>
      <c r="G88" s="181"/>
      <c r="H88" s="184">
        <v>3344000</v>
      </c>
      <c r="I88" s="184">
        <v>3344000</v>
      </c>
      <c r="J88" s="184">
        <v>3344000</v>
      </c>
      <c r="K88" s="184">
        <v>3344000</v>
      </c>
    </row>
    <row r="89" spans="2:11" hidden="1">
      <c r="B89" s="178" t="s">
        <v>557</v>
      </c>
      <c r="H89" s="181">
        <v>12258000</v>
      </c>
      <c r="I89" s="181">
        <v>12258000</v>
      </c>
      <c r="J89" s="181">
        <v>12258000</v>
      </c>
      <c r="K89" s="181">
        <v>12258000</v>
      </c>
    </row>
    <row r="90" spans="2:11" hidden="1">
      <c r="B90" s="180" t="s">
        <v>558</v>
      </c>
      <c r="G90" s="181">
        <v>-417000</v>
      </c>
      <c r="H90" s="181"/>
      <c r="I90" s="181"/>
      <c r="J90" s="181"/>
      <c r="K90" s="181"/>
    </row>
    <row r="91" spans="2:11" hidden="1">
      <c r="B91" s="180" t="s">
        <v>559</v>
      </c>
      <c r="F91" s="178"/>
      <c r="G91" s="181">
        <v>2299000</v>
      </c>
      <c r="H91" s="181"/>
      <c r="I91" s="181"/>
      <c r="J91" s="181"/>
      <c r="K91" s="181"/>
    </row>
    <row r="92" spans="2:11" hidden="1">
      <c r="B92" s="177" t="s">
        <v>560</v>
      </c>
      <c r="G92" s="181"/>
      <c r="H92" s="181"/>
      <c r="I92" s="196">
        <v>11000000</v>
      </c>
      <c r="J92" s="196">
        <v>8000000</v>
      </c>
      <c r="K92" s="196">
        <v>2000000</v>
      </c>
    </row>
    <row r="93" spans="2:11" hidden="1">
      <c r="G93" s="181"/>
      <c r="H93" s="181"/>
      <c r="I93" s="181"/>
      <c r="J93" s="181"/>
      <c r="K93" s="181"/>
    </row>
    <row r="94" spans="2:11" hidden="1">
      <c r="B94" s="177" t="s">
        <v>540</v>
      </c>
      <c r="F94" s="178"/>
      <c r="G94" s="181"/>
      <c r="H94" s="181"/>
      <c r="I94" s="181"/>
      <c r="J94" s="181"/>
      <c r="K94" s="181"/>
    </row>
    <row r="95" spans="2:11" hidden="1">
      <c r="B95" s="197" t="s">
        <v>561</v>
      </c>
      <c r="F95" s="178"/>
      <c r="G95" s="181"/>
      <c r="H95" s="181">
        <v>1682000</v>
      </c>
      <c r="I95" s="181">
        <v>1682000</v>
      </c>
      <c r="J95" s="181">
        <v>1682000</v>
      </c>
      <c r="K95" s="181">
        <v>1682000</v>
      </c>
    </row>
    <row r="96" spans="2:11" hidden="1">
      <c r="B96" s="177" t="s">
        <v>562</v>
      </c>
      <c r="F96" s="178"/>
      <c r="G96" s="181"/>
      <c r="H96" s="181">
        <v>-613000</v>
      </c>
      <c r="I96" s="181">
        <v>-613000</v>
      </c>
      <c r="J96" s="181">
        <v>-613000</v>
      </c>
      <c r="K96" s="181">
        <v>-613000</v>
      </c>
    </row>
    <row r="97" spans="2:12" hidden="1">
      <c r="B97" s="180" t="s">
        <v>563</v>
      </c>
      <c r="F97" s="178"/>
      <c r="G97" s="181"/>
      <c r="H97" s="181">
        <v>1000000</v>
      </c>
      <c r="I97" s="181">
        <v>1000000</v>
      </c>
      <c r="J97" s="181">
        <v>1000000</v>
      </c>
      <c r="K97" s="181">
        <v>1000000</v>
      </c>
    </row>
    <row r="98" spans="2:12" hidden="1">
      <c r="B98" s="180" t="s">
        <v>564</v>
      </c>
      <c r="F98" s="178"/>
      <c r="G98" s="181"/>
      <c r="H98" s="181">
        <f>SUM(H87:H97)</f>
        <v>331996000</v>
      </c>
      <c r="I98" s="181">
        <f>SUM(I87:I97)</f>
        <v>342996000</v>
      </c>
      <c r="J98" s="181">
        <f>SUM(J87:J97)</f>
        <v>339996000</v>
      </c>
      <c r="K98" s="181">
        <f>SUM(K87:K97)</f>
        <v>333996000</v>
      </c>
    </row>
    <row r="99" spans="2:12" hidden="1">
      <c r="B99" s="180"/>
      <c r="F99" s="178"/>
      <c r="G99" s="181"/>
      <c r="H99" s="181"/>
      <c r="I99" s="181"/>
      <c r="J99" s="181"/>
      <c r="K99" s="181"/>
    </row>
    <row r="100" spans="2:12" hidden="1">
      <c r="B100" s="177" t="s">
        <v>565</v>
      </c>
      <c r="F100" s="178"/>
      <c r="G100" s="181"/>
      <c r="H100" s="181"/>
      <c r="I100" s="181"/>
      <c r="J100" s="181"/>
      <c r="K100" s="181"/>
    </row>
    <row r="101" spans="2:12" hidden="1">
      <c r="B101" s="197" t="s">
        <v>566</v>
      </c>
      <c r="F101" s="178"/>
      <c r="G101" s="181"/>
      <c r="H101" s="181">
        <v>4100000</v>
      </c>
      <c r="I101" s="181">
        <v>4100000</v>
      </c>
      <c r="J101" s="181">
        <v>4100000</v>
      </c>
      <c r="K101" s="181">
        <v>4100000</v>
      </c>
    </row>
    <row r="102" spans="2:12" hidden="1">
      <c r="B102" s="180" t="s">
        <v>567</v>
      </c>
      <c r="F102" s="178"/>
      <c r="G102" s="181"/>
      <c r="H102" s="181">
        <v>6300000</v>
      </c>
      <c r="I102" s="181">
        <v>6300000</v>
      </c>
      <c r="J102" s="181">
        <v>6300000</v>
      </c>
      <c r="K102" s="181">
        <v>6300000</v>
      </c>
    </row>
    <row r="103" spans="2:12" hidden="1">
      <c r="B103" s="177" t="s">
        <v>568</v>
      </c>
      <c r="H103" s="181">
        <v>1600000</v>
      </c>
      <c r="I103" s="181">
        <v>1600000</v>
      </c>
      <c r="J103" s="181">
        <v>1600000</v>
      </c>
      <c r="K103" s="181">
        <v>1600000</v>
      </c>
    </row>
    <row r="104" spans="2:12" hidden="1">
      <c r="B104" s="180" t="s">
        <v>569</v>
      </c>
      <c r="H104" s="181">
        <v>23148000</v>
      </c>
      <c r="I104" s="181">
        <f>H104</f>
        <v>23148000</v>
      </c>
      <c r="J104" s="181">
        <f>I104</f>
        <v>23148000</v>
      </c>
      <c r="K104" s="181">
        <f>J104</f>
        <v>23148000</v>
      </c>
    </row>
    <row r="105" spans="2:12" hidden="1">
      <c r="B105" s="180" t="s">
        <v>570</v>
      </c>
      <c r="H105" s="181"/>
      <c r="I105" s="181">
        <v>-10190000</v>
      </c>
      <c r="J105" s="181">
        <v>-10190000</v>
      </c>
      <c r="K105" s="181">
        <v>-10190000</v>
      </c>
    </row>
    <row r="106" spans="2:12" hidden="1">
      <c r="B106" s="180" t="s">
        <v>571</v>
      </c>
      <c r="H106" s="181"/>
      <c r="I106" s="181">
        <v>0</v>
      </c>
      <c r="J106" s="181">
        <v>0</v>
      </c>
      <c r="K106" s="181">
        <v>0</v>
      </c>
    </row>
    <row r="107" spans="2:12" hidden="1">
      <c r="B107" s="197" t="s">
        <v>572</v>
      </c>
      <c r="H107" s="181"/>
      <c r="I107" s="181">
        <f>-3381000</f>
        <v>-3381000</v>
      </c>
      <c r="J107" s="181">
        <f>-3381000</f>
        <v>-3381000</v>
      </c>
      <c r="K107" s="181">
        <f>-3381000</f>
        <v>-3381000</v>
      </c>
    </row>
    <row r="108" spans="2:12" hidden="1">
      <c r="B108" s="197" t="s">
        <v>573</v>
      </c>
      <c r="H108" s="181"/>
      <c r="I108" s="181">
        <v>10000000</v>
      </c>
      <c r="J108" s="181">
        <v>0</v>
      </c>
      <c r="K108" s="181">
        <v>0</v>
      </c>
    </row>
    <row r="109" spans="2:12" ht="13.5" hidden="1" thickBot="1">
      <c r="B109" s="182" t="s">
        <v>574</v>
      </c>
      <c r="C109" s="183"/>
      <c r="D109" s="183"/>
      <c r="E109" s="183"/>
      <c r="F109" s="183"/>
      <c r="G109" s="183">
        <f>SUM(G85:G108)</f>
        <v>324572000</v>
      </c>
      <c r="H109" s="183">
        <f>SUM(H98:H108)</f>
        <v>367144000</v>
      </c>
      <c r="I109" s="183">
        <f>SUM(I98:I108)</f>
        <v>374573000</v>
      </c>
      <c r="J109" s="183">
        <f>SUM(J98:J108)</f>
        <v>361573000</v>
      </c>
      <c r="K109" s="183">
        <f>SUM(K98:K108)</f>
        <v>355573000</v>
      </c>
      <c r="L109" s="198"/>
    </row>
    <row r="110" spans="2:12" hidden="1">
      <c r="B110" s="178"/>
      <c r="C110" s="198"/>
      <c r="D110" s="198"/>
      <c r="E110" s="198"/>
      <c r="F110" s="198"/>
      <c r="G110" s="198"/>
      <c r="H110" s="198"/>
      <c r="I110" s="198"/>
      <c r="J110" s="198"/>
      <c r="K110" s="198"/>
      <c r="L110" s="198"/>
    </row>
    <row r="111" spans="2:12" hidden="1">
      <c r="G111" s="181" t="s">
        <v>575</v>
      </c>
      <c r="H111" s="181">
        <v>-450000</v>
      </c>
      <c r="I111" s="181"/>
      <c r="J111" s="181"/>
      <c r="K111" s="181"/>
      <c r="L111" s="181"/>
    </row>
    <row r="112" spans="2:12" ht="12" hidden="1" customHeight="1">
      <c r="G112" s="181"/>
      <c r="H112" s="181"/>
      <c r="I112" s="181"/>
      <c r="J112" s="181"/>
      <c r="K112" s="181"/>
      <c r="L112" s="181"/>
    </row>
    <row r="113" spans="2:18">
      <c r="B113" s="197" t="s">
        <v>576</v>
      </c>
      <c r="G113" s="181"/>
      <c r="H113" s="181">
        <f>SUM(H109:H112)</f>
        <v>366694000</v>
      </c>
      <c r="I113" s="181">
        <v>366694000</v>
      </c>
      <c r="J113" s="181">
        <v>366694000</v>
      </c>
      <c r="K113" s="181">
        <v>366694000</v>
      </c>
      <c r="L113" s="181">
        <v>366694000</v>
      </c>
      <c r="O113" s="181"/>
    </row>
    <row r="114" spans="2:18">
      <c r="B114" s="199" t="s">
        <v>577</v>
      </c>
      <c r="G114" s="181"/>
      <c r="H114" s="181"/>
      <c r="I114" s="181">
        <v>-13571000</v>
      </c>
      <c r="J114" s="181">
        <v>-13571000</v>
      </c>
      <c r="K114" s="181">
        <v>-13571000</v>
      </c>
      <c r="L114" s="181">
        <v>-13571000</v>
      </c>
      <c r="O114" s="181"/>
    </row>
    <row r="115" spans="2:18">
      <c r="B115" s="177" t="s">
        <v>573</v>
      </c>
      <c r="G115" s="181"/>
      <c r="H115" s="181"/>
      <c r="I115" s="211">
        <v>10000000</v>
      </c>
      <c r="J115" s="181"/>
      <c r="K115" s="181"/>
      <c r="L115" s="181"/>
      <c r="O115" s="181"/>
    </row>
    <row r="116" spans="2:18">
      <c r="B116" s="177" t="s">
        <v>578</v>
      </c>
      <c r="G116" s="181"/>
      <c r="H116" s="181"/>
      <c r="I116" s="181">
        <v>0</v>
      </c>
      <c r="J116" s="181">
        <v>-200000</v>
      </c>
      <c r="K116" s="181">
        <v>-200000</v>
      </c>
      <c r="L116" s="181">
        <v>-200000</v>
      </c>
      <c r="O116" s="181"/>
    </row>
    <row r="117" spans="2:18">
      <c r="B117" s="177" t="s">
        <v>560</v>
      </c>
      <c r="G117" s="181"/>
      <c r="H117" s="181"/>
      <c r="I117" s="181">
        <v>11000000</v>
      </c>
      <c r="J117" s="181">
        <v>8000000</v>
      </c>
      <c r="K117" s="181">
        <v>2000000</v>
      </c>
      <c r="L117" s="181">
        <v>2000000</v>
      </c>
      <c r="O117" s="181"/>
    </row>
    <row r="118" spans="2:18">
      <c r="B118" s="177" t="s">
        <v>579</v>
      </c>
      <c r="G118" s="181"/>
      <c r="H118" s="181"/>
      <c r="I118" s="181">
        <v>0</v>
      </c>
      <c r="J118" s="181">
        <v>-100000</v>
      </c>
      <c r="K118" s="181">
        <v>-300000</v>
      </c>
      <c r="L118" s="181">
        <v>-300000</v>
      </c>
      <c r="O118" s="181"/>
    </row>
    <row r="119" spans="2:18">
      <c r="B119" s="177" t="s">
        <v>580</v>
      </c>
      <c r="G119" s="181"/>
      <c r="H119" s="181"/>
      <c r="I119" s="181">
        <v>-550000</v>
      </c>
      <c r="J119" s="181">
        <v>-550000</v>
      </c>
      <c r="K119" s="181">
        <v>-550000</v>
      </c>
      <c r="L119" s="181">
        <v>-550000</v>
      </c>
      <c r="O119" s="181"/>
    </row>
    <row r="120" spans="2:18">
      <c r="B120" s="177" t="s">
        <v>581</v>
      </c>
      <c r="G120" s="181"/>
      <c r="H120" s="181"/>
      <c r="I120" s="181">
        <v>16809000</v>
      </c>
      <c r="J120" s="181">
        <v>16809000</v>
      </c>
      <c r="K120" s="181">
        <v>16809000</v>
      </c>
      <c r="L120" s="181">
        <v>16809000</v>
      </c>
      <c r="O120" s="181"/>
    </row>
    <row r="121" spans="2:18">
      <c r="B121" s="200" t="s">
        <v>582</v>
      </c>
      <c r="C121" s="201"/>
      <c r="D121" s="201"/>
      <c r="E121" s="201"/>
      <c r="F121" s="201"/>
      <c r="G121" s="202"/>
      <c r="H121" s="202"/>
      <c r="I121" s="202">
        <f>SUM(I113:I120)</f>
        <v>390382000</v>
      </c>
      <c r="J121" s="202">
        <f>SUM(J113:J120)</f>
        <v>377082000</v>
      </c>
      <c r="K121" s="202">
        <f>SUM(K113:K120)</f>
        <v>370882000</v>
      </c>
      <c r="L121" s="202">
        <f>SUM(L113:L120)</f>
        <v>370882000</v>
      </c>
      <c r="O121" s="181"/>
    </row>
    <row r="122" spans="2:18">
      <c r="B122" s="178" t="s">
        <v>583</v>
      </c>
      <c r="C122" s="178"/>
      <c r="D122" s="178"/>
      <c r="E122" s="178"/>
      <c r="F122" s="178"/>
      <c r="G122" s="184"/>
      <c r="H122" s="184"/>
      <c r="I122" s="184">
        <v>-4000000</v>
      </c>
      <c r="J122" s="184">
        <v>-3400000</v>
      </c>
      <c r="K122" s="184">
        <v>0</v>
      </c>
      <c r="L122" s="184">
        <v>0</v>
      </c>
      <c r="O122" s="181"/>
    </row>
    <row r="123" spans="2:18">
      <c r="B123" s="177" t="s">
        <v>584</v>
      </c>
      <c r="G123" s="181"/>
      <c r="H123" s="181">
        <v>450000</v>
      </c>
      <c r="I123" s="181">
        <v>1040000</v>
      </c>
      <c r="J123" s="181">
        <v>1040000</v>
      </c>
      <c r="K123" s="181">
        <v>1040000</v>
      </c>
      <c r="L123" s="181">
        <v>1040000</v>
      </c>
      <c r="O123" s="181"/>
    </row>
    <row r="124" spans="2:18">
      <c r="B124" s="177" t="s">
        <v>585</v>
      </c>
      <c r="G124" s="181"/>
      <c r="H124" s="181">
        <v>3900000</v>
      </c>
      <c r="I124" s="181">
        <v>3900000</v>
      </c>
      <c r="J124" s="181">
        <v>3900000</v>
      </c>
      <c r="K124" s="181">
        <v>3900000</v>
      </c>
      <c r="L124" s="181">
        <v>3900000</v>
      </c>
      <c r="O124" s="181"/>
    </row>
    <row r="125" spans="2:18">
      <c r="B125" s="177" t="s">
        <v>586</v>
      </c>
      <c r="G125" s="181"/>
      <c r="H125" s="181">
        <v>6000000</v>
      </c>
      <c r="I125" s="181"/>
      <c r="J125" s="181"/>
      <c r="K125" s="181"/>
      <c r="L125" s="181"/>
      <c r="O125" s="181"/>
    </row>
    <row r="126" spans="2:18">
      <c r="B126" s="197" t="s">
        <v>587</v>
      </c>
      <c r="G126" s="181"/>
      <c r="H126" s="181"/>
      <c r="I126" s="181">
        <v>6000000</v>
      </c>
      <c r="J126" s="181">
        <f>I126</f>
        <v>6000000</v>
      </c>
      <c r="K126" s="181">
        <f>J126</f>
        <v>6000000</v>
      </c>
      <c r="L126" s="181">
        <f>K126</f>
        <v>6000000</v>
      </c>
      <c r="O126" s="181"/>
    </row>
    <row r="127" spans="2:18">
      <c r="B127" s="197" t="s">
        <v>588</v>
      </c>
      <c r="G127" s="181"/>
      <c r="H127" s="181"/>
      <c r="I127" s="181">
        <v>1000000</v>
      </c>
      <c r="J127" s="181">
        <v>1000000</v>
      </c>
      <c r="K127" s="181">
        <v>1000000</v>
      </c>
      <c r="L127" s="181">
        <v>1000000</v>
      </c>
      <c r="O127" s="181"/>
    </row>
    <row r="128" spans="2:18">
      <c r="B128" s="177" t="s">
        <v>589</v>
      </c>
      <c r="G128" s="181"/>
      <c r="H128" s="181"/>
      <c r="I128" s="181">
        <v>1525000</v>
      </c>
      <c r="J128" s="181">
        <v>1476000</v>
      </c>
      <c r="K128" s="181">
        <v>1465000</v>
      </c>
      <c r="L128" s="181">
        <v>1465000</v>
      </c>
      <c r="O128" s="181"/>
      <c r="P128" s="181"/>
      <c r="Q128" s="181"/>
      <c r="R128" s="181"/>
    </row>
    <row r="129" spans="2:15">
      <c r="B129" s="177" t="s">
        <v>590</v>
      </c>
      <c r="G129" s="181"/>
      <c r="H129" s="181"/>
      <c r="I129" s="181">
        <v>-1702000</v>
      </c>
      <c r="J129" s="181">
        <v>-1702000</v>
      </c>
      <c r="K129" s="181">
        <v>-1702000</v>
      </c>
      <c r="L129" s="181">
        <v>-1702000</v>
      </c>
      <c r="O129" s="181"/>
    </row>
    <row r="130" spans="2:15">
      <c r="B130" s="177" t="s">
        <v>591</v>
      </c>
      <c r="G130" s="181"/>
      <c r="H130" s="181"/>
      <c r="I130" s="181">
        <v>2863000</v>
      </c>
      <c r="J130" s="181">
        <v>2863000</v>
      </c>
      <c r="K130" s="181">
        <v>2863000</v>
      </c>
      <c r="L130" s="181">
        <v>2863000</v>
      </c>
      <c r="O130" s="181"/>
    </row>
    <row r="131" spans="2:15">
      <c r="B131" s="177" t="s">
        <v>592</v>
      </c>
      <c r="G131" s="181"/>
      <c r="H131" s="181"/>
      <c r="I131" s="181">
        <f>ROUND(1000*5*1960,-3)</f>
        <v>9800000</v>
      </c>
      <c r="J131" s="181">
        <f>ROUND(1000*11*1960,-3)</f>
        <v>21560000</v>
      </c>
      <c r="K131" s="181">
        <f>ROUND(1000*11*1960,-3)</f>
        <v>21560000</v>
      </c>
      <c r="L131" s="181">
        <f>ROUND(1000*11*1960,-3)</f>
        <v>21560000</v>
      </c>
      <c r="O131" s="181"/>
    </row>
    <row r="132" spans="2:15">
      <c r="B132" s="177" t="s">
        <v>593</v>
      </c>
      <c r="G132" s="181"/>
      <c r="H132" s="181"/>
      <c r="I132" s="181">
        <v>-10400000</v>
      </c>
      <c r="J132" s="181">
        <f>I132</f>
        <v>-10400000</v>
      </c>
      <c r="K132" s="181">
        <f>J132</f>
        <v>-10400000</v>
      </c>
      <c r="L132" s="181">
        <f>K132</f>
        <v>-10400000</v>
      </c>
    </row>
    <row r="133" spans="2:15">
      <c r="B133" s="178" t="s">
        <v>594</v>
      </c>
      <c r="G133" s="181"/>
      <c r="H133" s="181"/>
      <c r="I133" s="181"/>
      <c r="J133" s="181"/>
      <c r="K133" s="181"/>
      <c r="L133" s="181">
        <v>-200000</v>
      </c>
    </row>
    <row r="134" spans="2:15">
      <c r="B134" s="177" t="s">
        <v>595</v>
      </c>
      <c r="G134" s="181"/>
      <c r="H134" s="181"/>
      <c r="I134" s="181">
        <v>-7062000</v>
      </c>
      <c r="J134" s="181">
        <v>-7062000</v>
      </c>
      <c r="K134" s="181">
        <v>-7062000</v>
      </c>
      <c r="L134" s="181">
        <v>-7062000</v>
      </c>
    </row>
    <row r="135" spans="2:15" ht="13.5" thickBot="1">
      <c r="B135" s="182" t="s">
        <v>596</v>
      </c>
      <c r="C135" s="183"/>
      <c r="D135" s="183"/>
      <c r="E135" s="183"/>
      <c r="F135" s="183"/>
      <c r="G135" s="183"/>
      <c r="H135" s="183"/>
      <c r="I135" s="183">
        <f>SUM(I121:I134)</f>
        <v>393346000</v>
      </c>
      <c r="J135" s="183">
        <f>SUM(J121:J134)</f>
        <v>392357000</v>
      </c>
      <c r="K135" s="183">
        <f>SUM(K121:K134)</f>
        <v>389546000</v>
      </c>
      <c r="L135" s="183">
        <f>SUM(L121:L134)</f>
        <v>389346000</v>
      </c>
    </row>
    <row r="136" spans="2:15">
      <c r="B136" s="17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</row>
    <row r="137" spans="2:15">
      <c r="B137" s="178"/>
      <c r="C137" s="198"/>
      <c r="D137" s="198"/>
      <c r="E137" s="198"/>
      <c r="F137" s="198"/>
      <c r="G137" s="198"/>
      <c r="H137" s="198"/>
      <c r="I137" s="198"/>
      <c r="J137" s="198"/>
      <c r="K137" s="198"/>
      <c r="L137" s="198"/>
    </row>
    <row r="138" spans="2:15">
      <c r="B138" s="197" t="s">
        <v>597</v>
      </c>
      <c r="G138" s="181"/>
      <c r="H138" s="181"/>
      <c r="I138" s="181">
        <f>I135</f>
        <v>393346000</v>
      </c>
      <c r="J138" s="181">
        <f>$I$138</f>
        <v>393346000</v>
      </c>
      <c r="K138" s="181">
        <f t="shared" ref="K138:M138" si="7">$I$138</f>
        <v>393346000</v>
      </c>
      <c r="L138" s="181">
        <f t="shared" si="7"/>
        <v>393346000</v>
      </c>
      <c r="M138" s="181">
        <f t="shared" si="7"/>
        <v>393346000</v>
      </c>
    </row>
    <row r="139" spans="2:15">
      <c r="B139" s="200" t="s">
        <v>598</v>
      </c>
      <c r="G139" s="181"/>
      <c r="H139" s="181"/>
      <c r="I139" s="181"/>
      <c r="J139" s="181"/>
      <c r="K139" s="181"/>
      <c r="L139" s="181"/>
      <c r="M139" s="181"/>
    </row>
    <row r="140" spans="2:15">
      <c r="B140" s="177" t="s">
        <v>573</v>
      </c>
      <c r="G140" s="181"/>
      <c r="H140" s="181"/>
      <c r="I140" s="181"/>
      <c r="J140" s="181">
        <f>J115-I115</f>
        <v>-10000000</v>
      </c>
      <c r="K140" s="181">
        <f t="shared" ref="K140:M141" si="8">J140</f>
        <v>-10000000</v>
      </c>
      <c r="L140" s="181">
        <f t="shared" si="8"/>
        <v>-10000000</v>
      </c>
      <c r="M140" s="181">
        <f t="shared" si="8"/>
        <v>-10000000</v>
      </c>
    </row>
    <row r="141" spans="2:15">
      <c r="B141" s="177" t="s">
        <v>578</v>
      </c>
      <c r="G141" s="181"/>
      <c r="H141" s="181"/>
      <c r="I141" s="181"/>
      <c r="J141" s="181">
        <f>J116-I116</f>
        <v>-200000</v>
      </c>
      <c r="K141" s="181">
        <f t="shared" si="8"/>
        <v>-200000</v>
      </c>
      <c r="L141" s="181">
        <f t="shared" si="8"/>
        <v>-200000</v>
      </c>
      <c r="M141" s="181">
        <f t="shared" si="8"/>
        <v>-200000</v>
      </c>
    </row>
    <row r="142" spans="2:15">
      <c r="B142" s="177" t="s">
        <v>560</v>
      </c>
      <c r="G142" s="181"/>
      <c r="H142" s="181"/>
      <c r="I142" s="181"/>
      <c r="J142" s="181">
        <f>J117-I117</f>
        <v>-3000000</v>
      </c>
      <c r="K142" s="181">
        <v>-9000000</v>
      </c>
      <c r="L142" s="181">
        <f>K142</f>
        <v>-9000000</v>
      </c>
      <c r="M142" s="181">
        <f>L142</f>
        <v>-9000000</v>
      </c>
    </row>
    <row r="143" spans="2:15">
      <c r="B143" s="177" t="s">
        <v>579</v>
      </c>
      <c r="G143" s="181"/>
      <c r="H143" s="181"/>
      <c r="I143" s="181"/>
      <c r="J143" s="181">
        <f>J118-I118</f>
        <v>-100000</v>
      </c>
      <c r="K143" s="181">
        <v>-300000</v>
      </c>
      <c r="L143" s="181">
        <v>-500000</v>
      </c>
      <c r="M143" s="214">
        <v>-700000</v>
      </c>
      <c r="N143" s="181">
        <v>-800000</v>
      </c>
    </row>
    <row r="144" spans="2:15">
      <c r="B144" s="178" t="s">
        <v>583</v>
      </c>
      <c r="G144" s="181"/>
      <c r="H144" s="181"/>
      <c r="I144" s="181"/>
      <c r="J144" s="181">
        <v>600000</v>
      </c>
      <c r="K144" s="181">
        <v>4000000</v>
      </c>
      <c r="L144" s="181">
        <v>4000000</v>
      </c>
      <c r="M144" s="181">
        <v>4000000</v>
      </c>
    </row>
    <row r="145" spans="2:13">
      <c r="B145" s="177" t="s">
        <v>589</v>
      </c>
      <c r="G145" s="181"/>
      <c r="H145" s="181"/>
      <c r="I145" s="181"/>
      <c r="J145" s="181">
        <v>-49000</v>
      </c>
      <c r="K145" s="181">
        <v>-60000</v>
      </c>
      <c r="L145" s="181">
        <f>K145</f>
        <v>-60000</v>
      </c>
      <c r="M145" s="181">
        <f>L145</f>
        <v>-60000</v>
      </c>
    </row>
    <row r="146" spans="2:13">
      <c r="B146" s="177" t="s">
        <v>592</v>
      </c>
      <c r="G146" s="181"/>
      <c r="H146" s="181"/>
      <c r="I146" s="181"/>
      <c r="J146" s="181">
        <f>J131-I131</f>
        <v>11760000</v>
      </c>
      <c r="K146" s="181">
        <f>J146</f>
        <v>11760000</v>
      </c>
      <c r="L146" s="181">
        <f>K146</f>
        <v>11760000</v>
      </c>
      <c r="M146" s="181">
        <f>L146</f>
        <v>11760000</v>
      </c>
    </row>
    <row r="147" spans="2:13">
      <c r="B147" s="209" t="s">
        <v>599</v>
      </c>
      <c r="C147" s="201"/>
      <c r="D147" s="201"/>
      <c r="E147" s="201"/>
      <c r="F147" s="201"/>
      <c r="G147" s="201"/>
      <c r="H147" s="201"/>
      <c r="I147" s="202">
        <f>SUM(I138:I146)</f>
        <v>393346000</v>
      </c>
      <c r="J147" s="202">
        <f>SUM(J138:J146)</f>
        <v>392357000</v>
      </c>
      <c r="K147" s="202">
        <f>SUM(K138:K146)</f>
        <v>389546000</v>
      </c>
      <c r="L147" s="202">
        <f>SUM(L138:L146)</f>
        <v>389346000</v>
      </c>
      <c r="M147" s="202">
        <f>SUM(M138:M146)</f>
        <v>389146000</v>
      </c>
    </row>
    <row r="148" spans="2:13">
      <c r="B148" s="178"/>
      <c r="I148" s="181"/>
      <c r="J148" s="181"/>
      <c r="K148" s="181"/>
      <c r="L148" s="181"/>
      <c r="M148" s="181"/>
    </row>
    <row r="149" spans="2:13">
      <c r="B149" s="177" t="s">
        <v>600</v>
      </c>
      <c r="I149" s="181">
        <v>-9158000</v>
      </c>
      <c r="J149" s="181">
        <v>-9158000</v>
      </c>
      <c r="K149" s="181">
        <f>J149</f>
        <v>-9158000</v>
      </c>
      <c r="L149" s="181">
        <f>K149</f>
        <v>-9158000</v>
      </c>
      <c r="M149" s="181">
        <f>L149</f>
        <v>-9158000</v>
      </c>
    </row>
    <row r="150" spans="2:13">
      <c r="B150" s="177" t="s">
        <v>601</v>
      </c>
      <c r="I150" s="181">
        <v>5000</v>
      </c>
      <c r="J150" s="181"/>
      <c r="K150" s="181"/>
      <c r="L150" s="181"/>
      <c r="M150" s="181"/>
    </row>
    <row r="151" spans="2:13">
      <c r="B151" s="177" t="s">
        <v>602</v>
      </c>
      <c r="I151" s="181">
        <f>SUM(I147:I150)</f>
        <v>384193000</v>
      </c>
      <c r="J151" s="181"/>
      <c r="K151" s="181"/>
      <c r="L151" s="181"/>
      <c r="M151" s="181"/>
    </row>
    <row r="152" spans="2:13">
      <c r="H152" s="196" t="s">
        <v>603</v>
      </c>
      <c r="I152" s="215">
        <v>384193141.53635269</v>
      </c>
      <c r="J152" s="181"/>
      <c r="K152" s="181"/>
      <c r="L152" s="181"/>
      <c r="M152" s="181"/>
    </row>
    <row r="153" spans="2:13">
      <c r="H153" s="181"/>
      <c r="I153" s="181">
        <f>I151-I152</f>
        <v>-141.53635269403458</v>
      </c>
      <c r="J153" s="181"/>
      <c r="K153" s="181"/>
      <c r="L153" s="181"/>
      <c r="M153" s="181"/>
    </row>
    <row r="154" spans="2:13">
      <c r="B154" s="178" t="s">
        <v>604</v>
      </c>
      <c r="I154" s="181"/>
      <c r="J154" s="217">
        <f>(15694280+720)</f>
        <v>15695000</v>
      </c>
      <c r="K154" s="217">
        <f t="shared" ref="K154:M154" si="9">(15694280+720)</f>
        <v>15695000</v>
      </c>
      <c r="L154" s="217">
        <f t="shared" si="9"/>
        <v>15695000</v>
      </c>
      <c r="M154" s="217">
        <f t="shared" si="9"/>
        <v>15695000</v>
      </c>
    </row>
    <row r="155" spans="2:13">
      <c r="B155" s="177" t="s">
        <v>605</v>
      </c>
      <c r="H155" s="181"/>
      <c r="I155" s="181"/>
      <c r="J155" s="181">
        <v>4000000</v>
      </c>
      <c r="K155" s="181">
        <v>4000000</v>
      </c>
      <c r="L155" s="181">
        <v>4000000</v>
      </c>
      <c r="M155" s="181">
        <v>4000000</v>
      </c>
    </row>
    <row r="156" spans="2:13">
      <c r="B156" s="177" t="s">
        <v>606</v>
      </c>
      <c r="H156" s="181"/>
      <c r="I156" s="181"/>
      <c r="J156" s="181">
        <f>50*-150000</f>
        <v>-7500000</v>
      </c>
      <c r="K156" s="181">
        <v>-7500000</v>
      </c>
      <c r="L156" s="181">
        <v>-7500000</v>
      </c>
      <c r="M156" s="181">
        <v>-7500000</v>
      </c>
    </row>
    <row r="157" spans="2:13">
      <c r="B157" s="216" t="s">
        <v>607</v>
      </c>
      <c r="H157" s="181"/>
      <c r="I157" s="181"/>
      <c r="J157" s="181">
        <f>SUM(J147:J156)</f>
        <v>395394000</v>
      </c>
      <c r="K157" s="181">
        <f t="shared" ref="K157:M157" si="10">SUM(K147:K156)</f>
        <v>392583000</v>
      </c>
      <c r="L157" s="181">
        <f t="shared" si="10"/>
        <v>392383000</v>
      </c>
      <c r="M157" s="181">
        <f t="shared" si="10"/>
        <v>392183000</v>
      </c>
    </row>
    <row r="158" spans="2:13">
      <c r="B158" s="177" t="s">
        <v>608</v>
      </c>
      <c r="J158" s="181">
        <f>-J156-4900000</f>
        <v>2600000</v>
      </c>
      <c r="K158" s="181">
        <f>-K156-4900000</f>
        <v>2600000</v>
      </c>
      <c r="L158" s="181">
        <f>-L156-4900000</f>
        <v>2600000</v>
      </c>
      <c r="M158" s="181">
        <f>-M156-4900000</f>
        <v>2600000</v>
      </c>
    </row>
    <row r="159" spans="2:13">
      <c r="B159" s="177" t="s">
        <v>609</v>
      </c>
      <c r="J159" s="181"/>
      <c r="M159" s="181">
        <v>200000</v>
      </c>
    </row>
    <row r="160" spans="2:13">
      <c r="B160" s="216" t="s">
        <v>610</v>
      </c>
      <c r="C160" s="216"/>
      <c r="D160" s="216"/>
      <c r="E160" s="216"/>
      <c r="F160" s="216"/>
      <c r="G160" s="216"/>
      <c r="H160" s="216"/>
      <c r="I160" s="216"/>
      <c r="J160" s="217">
        <f>SUM(J157:J159)</f>
        <v>397994000</v>
      </c>
      <c r="K160" s="217">
        <f>SUM(K157:K159)</f>
        <v>395183000</v>
      </c>
      <c r="L160" s="217">
        <f>SUM(L157:L159)</f>
        <v>394983000</v>
      </c>
      <c r="M160" s="217">
        <f>SUM(M157:M159)</f>
        <v>394983000</v>
      </c>
    </row>
    <row r="161" spans="2:17">
      <c r="B161" s="216" t="s">
        <v>611</v>
      </c>
      <c r="C161" s="216"/>
      <c r="D161" s="216"/>
      <c r="E161" s="216"/>
      <c r="F161" s="216"/>
      <c r="G161" s="216"/>
      <c r="H161" s="216"/>
      <c r="I161" s="216"/>
      <c r="J161" s="217">
        <f>ROUND(2013213.91111112,-3)</f>
        <v>2013000</v>
      </c>
      <c r="K161" s="217">
        <f t="shared" ref="K161:M161" si="11">ROUND(2013213.91111112,-3)</f>
        <v>2013000</v>
      </c>
      <c r="L161" s="217">
        <f t="shared" si="11"/>
        <v>2013000</v>
      </c>
      <c r="M161" s="217">
        <f t="shared" si="11"/>
        <v>2013000</v>
      </c>
    </row>
    <row r="162" spans="2:17">
      <c r="B162" s="216" t="s">
        <v>612</v>
      </c>
      <c r="C162" s="216"/>
      <c r="D162" s="216"/>
      <c r="E162" s="216"/>
      <c r="F162" s="216"/>
      <c r="G162" s="216"/>
      <c r="H162" s="216"/>
      <c r="I162" s="216"/>
      <c r="J162" s="217">
        <f>ROUND(1351697.68888891,-3)+232000</f>
        <v>1584000</v>
      </c>
      <c r="K162" s="217">
        <f t="shared" ref="K162:M162" si="12">ROUND(1351697.68888891,-3)+232000</f>
        <v>1584000</v>
      </c>
      <c r="L162" s="217">
        <f t="shared" si="12"/>
        <v>1584000</v>
      </c>
      <c r="M162" s="217">
        <f t="shared" si="12"/>
        <v>1584000</v>
      </c>
    </row>
    <row r="163" spans="2:17">
      <c r="B163" s="216" t="s">
        <v>613</v>
      </c>
      <c r="C163" s="216"/>
      <c r="D163" s="216"/>
      <c r="E163" s="216"/>
      <c r="F163" s="216"/>
      <c r="G163" s="216"/>
      <c r="H163" s="216"/>
      <c r="I163" s="216"/>
      <c r="J163" s="217">
        <f>ROUND(85236.8000000119,-3)</f>
        <v>85000</v>
      </c>
      <c r="K163" s="217">
        <f t="shared" ref="K163:M163" si="13">ROUND(85236.8000000119,-3)</f>
        <v>85000</v>
      </c>
      <c r="L163" s="217">
        <f t="shared" si="13"/>
        <v>85000</v>
      </c>
      <c r="M163" s="217">
        <f t="shared" si="13"/>
        <v>85000</v>
      </c>
    </row>
    <row r="164" spans="2:17">
      <c r="B164" s="216" t="s">
        <v>614</v>
      </c>
      <c r="C164" s="216"/>
      <c r="D164" s="216"/>
      <c r="E164" s="216"/>
      <c r="F164" s="216"/>
      <c r="G164" s="216"/>
      <c r="H164" s="216"/>
      <c r="I164" s="216"/>
      <c r="J164" s="217">
        <f>ROUND(795817.933333337,-3)</f>
        <v>796000</v>
      </c>
      <c r="K164" s="217">
        <f t="shared" ref="K164:M164" si="14">ROUND(795817.933333337,-3)</f>
        <v>796000</v>
      </c>
      <c r="L164" s="217">
        <f t="shared" si="14"/>
        <v>796000</v>
      </c>
      <c r="M164" s="217">
        <f t="shared" si="14"/>
        <v>796000</v>
      </c>
    </row>
    <row r="165" spans="2:17">
      <c r="B165" s="216" t="s">
        <v>615</v>
      </c>
      <c r="C165" s="216"/>
      <c r="D165" s="216"/>
      <c r="E165" s="216"/>
      <c r="F165" s="216"/>
      <c r="G165" s="216"/>
      <c r="H165" s="216"/>
      <c r="I165" s="216"/>
      <c r="J165" s="217">
        <f>ROUND(401241.333333373,-3)</f>
        <v>401000</v>
      </c>
      <c r="K165" s="217">
        <f t="shared" ref="K165:M165" si="15">ROUND(401241.333333373,-3)</f>
        <v>401000</v>
      </c>
      <c r="L165" s="217">
        <f t="shared" si="15"/>
        <v>401000</v>
      </c>
      <c r="M165" s="217">
        <f t="shared" si="15"/>
        <v>401000</v>
      </c>
    </row>
    <row r="166" spans="2:17">
      <c r="B166" s="216" t="s">
        <v>616</v>
      </c>
      <c r="C166" s="216"/>
      <c r="D166" s="216"/>
      <c r="E166" s="216"/>
      <c r="F166" s="216"/>
      <c r="G166" s="216"/>
      <c r="H166" s="216"/>
      <c r="I166" s="216"/>
      <c r="J166" s="217">
        <v>-232000</v>
      </c>
      <c r="K166" s="217">
        <v>-232000</v>
      </c>
      <c r="L166" s="217">
        <v>-232000</v>
      </c>
      <c r="M166" s="217">
        <v>-232000</v>
      </c>
    </row>
    <row r="167" spans="2:17">
      <c r="B167" s="216" t="s">
        <v>617</v>
      </c>
      <c r="C167" s="216"/>
      <c r="D167" s="216"/>
      <c r="E167" s="216"/>
      <c r="F167" s="216"/>
      <c r="G167" s="216"/>
      <c r="H167" s="216"/>
      <c r="I167" s="216"/>
      <c r="J167" s="217">
        <f>ROUND(-1613216.68888885,-3)</f>
        <v>-1613000</v>
      </c>
      <c r="K167" s="217">
        <f t="shared" ref="K167:M167" si="16">ROUND(-1613216.68888885,-3)</f>
        <v>-1613000</v>
      </c>
      <c r="L167" s="217">
        <f t="shared" si="16"/>
        <v>-1613000</v>
      </c>
      <c r="M167" s="217">
        <f t="shared" si="16"/>
        <v>-1613000</v>
      </c>
    </row>
    <row r="168" spans="2:17" s="216" customFormat="1">
      <c r="J168" s="217"/>
      <c r="K168" s="217"/>
      <c r="L168" s="217"/>
      <c r="M168" s="217"/>
      <c r="N168" s="177"/>
    </row>
    <row r="169" spans="2:17" ht="13.5" thickBot="1">
      <c r="B169" s="243" t="s">
        <v>618</v>
      </c>
      <c r="C169" s="244"/>
      <c r="D169" s="244"/>
      <c r="E169" s="244"/>
      <c r="F169" s="244"/>
      <c r="G169" s="244"/>
      <c r="H169" s="244"/>
      <c r="I169" s="244">
        <f>SUM(I156:I168)</f>
        <v>0</v>
      </c>
      <c r="J169" s="244">
        <f>SUM(J160:J167)</f>
        <v>401028000</v>
      </c>
      <c r="K169" s="244">
        <f>SUM(K160:K167)</f>
        <v>398217000</v>
      </c>
      <c r="L169" s="244">
        <f>SUM(L160:L167)</f>
        <v>398017000</v>
      </c>
      <c r="M169" s="244">
        <f>SUM(M160:M167)</f>
        <v>398017000</v>
      </c>
    </row>
    <row r="170" spans="2:17" s="216" customFormat="1">
      <c r="J170" s="217"/>
      <c r="K170" s="217"/>
      <c r="L170" s="217"/>
      <c r="M170" s="217"/>
    </row>
    <row r="171" spans="2:17" s="216" customFormat="1">
      <c r="B171" s="197" t="s">
        <v>619</v>
      </c>
      <c r="J171" s="217">
        <f>J169</f>
        <v>401028000</v>
      </c>
      <c r="K171" s="217">
        <f>J171</f>
        <v>401028000</v>
      </c>
      <c r="L171" s="217">
        <f t="shared" ref="L171:N171" si="17">K171</f>
        <v>401028000</v>
      </c>
      <c r="M171" s="217">
        <f t="shared" si="17"/>
        <v>401028000</v>
      </c>
      <c r="N171" s="217">
        <f t="shared" si="17"/>
        <v>401028000</v>
      </c>
      <c r="Q171" s="217"/>
    </row>
    <row r="172" spans="2:17" s="216" customFormat="1">
      <c r="B172" s="197" t="s">
        <v>620</v>
      </c>
      <c r="J172" s="217"/>
      <c r="K172" s="217"/>
      <c r="L172" s="217"/>
      <c r="M172" s="217"/>
      <c r="N172" s="217"/>
    </row>
    <row r="173" spans="2:17" s="216" customFormat="1">
      <c r="B173" s="177" t="s">
        <v>621</v>
      </c>
      <c r="J173" s="1"/>
      <c r="K173" s="181">
        <v>-6000000</v>
      </c>
      <c r="L173" s="181">
        <f>K173</f>
        <v>-6000000</v>
      </c>
      <c r="M173" s="181">
        <f>L173</f>
        <v>-6000000</v>
      </c>
      <c r="N173" s="181">
        <f>M173</f>
        <v>-6000000</v>
      </c>
    </row>
    <row r="174" spans="2:17" s="216" customFormat="1">
      <c r="B174" s="177" t="s">
        <v>622</v>
      </c>
      <c r="J174" s="217"/>
      <c r="K174" s="181">
        <v>-200000</v>
      </c>
      <c r="L174" s="181">
        <v>-400000</v>
      </c>
      <c r="M174" s="181">
        <v>-400000</v>
      </c>
      <c r="N174" s="181">
        <v>-400000</v>
      </c>
      <c r="O174" s="242"/>
    </row>
    <row r="175" spans="2:17" s="216" customFormat="1">
      <c r="B175" s="177" t="s">
        <v>623</v>
      </c>
      <c r="J175" s="217"/>
      <c r="K175" s="181">
        <v>-11000</v>
      </c>
      <c r="L175" s="181">
        <v>-11000</v>
      </c>
      <c r="M175" s="181">
        <v>-11000</v>
      </c>
      <c r="N175" s="181">
        <v>-11000</v>
      </c>
    </row>
    <row r="176" spans="2:17" s="216" customFormat="1">
      <c r="B176" s="177" t="s">
        <v>624</v>
      </c>
      <c r="J176" s="217"/>
      <c r="K176" s="181">
        <v>3400000</v>
      </c>
      <c r="L176" s="181">
        <v>3400000</v>
      </c>
      <c r="M176" s="181">
        <v>3400000</v>
      </c>
      <c r="N176" s="181">
        <v>3400000</v>
      </c>
    </row>
    <row r="177" spans="2:14" s="216" customFormat="1">
      <c r="B177" s="242" t="s">
        <v>625</v>
      </c>
      <c r="J177" s="217"/>
      <c r="K177" s="217">
        <v>15530463</v>
      </c>
      <c r="L177" s="217">
        <v>15530463</v>
      </c>
      <c r="M177" s="217">
        <v>15530463</v>
      </c>
      <c r="N177" s="217">
        <v>15530463</v>
      </c>
    </row>
    <row r="178" spans="2:14" s="216" customFormat="1">
      <c r="B178" s="242" t="s">
        <v>626</v>
      </c>
      <c r="J178" s="217"/>
      <c r="K178" s="217">
        <v>-1463</v>
      </c>
      <c r="L178" s="217">
        <v>-1463</v>
      </c>
      <c r="M178" s="217">
        <v>-1463</v>
      </c>
      <c r="N178" s="217">
        <v>-1463</v>
      </c>
    </row>
    <row r="179" spans="2:14" s="216" customFormat="1">
      <c r="B179" s="200" t="s">
        <v>627</v>
      </c>
      <c r="C179" s="201"/>
      <c r="D179" s="201"/>
      <c r="E179" s="201"/>
      <c r="F179" s="201"/>
      <c r="G179" s="201"/>
      <c r="H179" s="201"/>
      <c r="I179" s="201"/>
      <c r="J179" s="202">
        <f>SUM(J171:J178)</f>
        <v>401028000</v>
      </c>
      <c r="K179" s="202">
        <f>SUM(K171:K178)</f>
        <v>413746000</v>
      </c>
      <c r="L179" s="202">
        <f t="shared" ref="L179:N179" si="18">SUM(L171:L178)</f>
        <v>413546000</v>
      </c>
      <c r="M179" s="202">
        <f t="shared" si="18"/>
        <v>413546000</v>
      </c>
      <c r="N179" s="202">
        <f t="shared" si="18"/>
        <v>413546000</v>
      </c>
    </row>
    <row r="180" spans="2:14" s="216" customFormat="1">
      <c r="B180" s="197"/>
      <c r="J180" s="217"/>
      <c r="K180" s="217"/>
      <c r="L180" s="217"/>
      <c r="M180" s="217"/>
      <c r="N180" s="217"/>
    </row>
    <row r="181" spans="2:14">
      <c r="B181" s="178" t="s">
        <v>628</v>
      </c>
      <c r="J181" s="181">
        <f>1118000</f>
        <v>1118000</v>
      </c>
      <c r="K181" s="181">
        <v>1118000</v>
      </c>
      <c r="L181" s="181">
        <v>1118000</v>
      </c>
      <c r="M181" s="181">
        <v>1118000</v>
      </c>
      <c r="N181" s="181">
        <v>1118000</v>
      </c>
    </row>
    <row r="182" spans="2:14">
      <c r="B182" s="177" t="s">
        <v>629</v>
      </c>
      <c r="J182" s="181">
        <v>-3606000</v>
      </c>
      <c r="K182" s="181">
        <v>-8654000</v>
      </c>
      <c r="L182" s="181">
        <v>-8654000</v>
      </c>
      <c r="M182" s="181">
        <v>-8654000</v>
      </c>
      <c r="N182" s="181">
        <v>-8654000</v>
      </c>
    </row>
    <row r="183" spans="2:14">
      <c r="B183" s="177" t="s">
        <v>630</v>
      </c>
      <c r="J183" s="181">
        <v>7600000</v>
      </c>
      <c r="K183" s="181">
        <v>16900000</v>
      </c>
      <c r="L183" s="181">
        <v>16900000</v>
      </c>
      <c r="M183" s="181">
        <v>16900000</v>
      </c>
      <c r="N183" s="181">
        <v>16900000</v>
      </c>
    </row>
    <row r="184" spans="2:14">
      <c r="B184" s="248" t="s">
        <v>631</v>
      </c>
      <c r="J184" s="181"/>
      <c r="K184" s="181">
        <v>11000000</v>
      </c>
      <c r="L184" s="181">
        <v>11000000</v>
      </c>
      <c r="M184" s="181">
        <v>11000000</v>
      </c>
      <c r="N184" s="181">
        <v>11000000</v>
      </c>
    </row>
    <row r="185" spans="2:14">
      <c r="B185" s="248" t="s">
        <v>632</v>
      </c>
      <c r="J185" s="181"/>
      <c r="K185" s="181"/>
      <c r="L185" s="181"/>
      <c r="M185" s="181"/>
      <c r="N185" s="181">
        <v>-600000</v>
      </c>
    </row>
    <row r="186" spans="2:14">
      <c r="B186" s="200" t="s">
        <v>633</v>
      </c>
      <c r="C186" s="201"/>
      <c r="D186" s="201"/>
      <c r="E186" s="201"/>
      <c r="F186" s="201"/>
      <c r="G186" s="201"/>
      <c r="H186" s="201"/>
      <c r="I186" s="201"/>
      <c r="J186" s="202">
        <f>SUM(J179:J185)</f>
        <v>406140000</v>
      </c>
      <c r="K186" s="202">
        <f>SUM(K179:K185)</f>
        <v>434110000</v>
      </c>
      <c r="L186" s="202">
        <f>SUM(L179:L185)</f>
        <v>433910000</v>
      </c>
      <c r="M186" s="202">
        <f>SUM(M179:M185)</f>
        <v>433910000</v>
      </c>
      <c r="N186" s="202">
        <f>SUM(N179:N185)</f>
        <v>433310000</v>
      </c>
    </row>
    <row r="187" spans="2:14">
      <c r="B187" s="197"/>
      <c r="I187" s="215" t="s">
        <v>634</v>
      </c>
      <c r="J187" s="215">
        <f>405679705.106667</f>
        <v>405679705.10666698</v>
      </c>
      <c r="K187" s="181"/>
      <c r="L187" s="181"/>
      <c r="M187" s="181"/>
      <c r="N187" s="181"/>
    </row>
    <row r="188" spans="2:14">
      <c r="B188" s="197"/>
      <c r="J188" s="181">
        <f>J186-J187</f>
        <v>460294.89333301783</v>
      </c>
      <c r="K188" s="181"/>
      <c r="L188" s="181"/>
      <c r="M188" s="181"/>
      <c r="N188" s="181"/>
    </row>
    <row r="189" spans="2:14">
      <c r="B189" s="177" t="s">
        <v>635</v>
      </c>
      <c r="I189" s="181"/>
      <c r="J189" s="214">
        <v>340000</v>
      </c>
      <c r="K189" s="181"/>
      <c r="L189" s="181"/>
      <c r="M189" s="181"/>
    </row>
    <row r="191" spans="2:14">
      <c r="B191" s="177" t="s">
        <v>636</v>
      </c>
      <c r="I191" s="250">
        <v>9.17999999999995</v>
      </c>
      <c r="J191" s="250">
        <v>-25</v>
      </c>
      <c r="K191" s="181">
        <v>-1500000</v>
      </c>
      <c r="L191" s="181">
        <v>-1500000</v>
      </c>
      <c r="M191" s="181">
        <v>-1500000</v>
      </c>
      <c r="N191" s="181">
        <v>-1500000</v>
      </c>
    </row>
    <row r="192" spans="2:14">
      <c r="B192" s="226" t="s">
        <v>182</v>
      </c>
      <c r="C192" s="78">
        <v>9.17999999999995</v>
      </c>
      <c r="D192" s="78">
        <v>-25</v>
      </c>
      <c r="I192" s="255">
        <v>680</v>
      </c>
      <c r="J192" s="255">
        <v>1158</v>
      </c>
      <c r="K192" s="181"/>
    </row>
    <row r="193" spans="2:14">
      <c r="K193" s="181"/>
    </row>
    <row r="194" spans="2:14">
      <c r="B194" s="177" t="s">
        <v>637</v>
      </c>
      <c r="K194" s="181"/>
    </row>
    <row r="195" spans="2:14">
      <c r="B195" s="177" t="s">
        <v>638</v>
      </c>
      <c r="K195" s="181">
        <v>-424000</v>
      </c>
      <c r="L195" s="181">
        <v>-424000</v>
      </c>
      <c r="M195" s="181">
        <v>-424000</v>
      </c>
      <c r="N195" s="181">
        <v>-424000</v>
      </c>
    </row>
    <row r="196" spans="2:14">
      <c r="B196" s="177" t="s">
        <v>639</v>
      </c>
      <c r="K196" s="181">
        <f>-849000*0</f>
        <v>0</v>
      </c>
      <c r="L196" s="181">
        <f t="shared" ref="L196:N196" si="19">-849000*0</f>
        <v>0</v>
      </c>
      <c r="M196" s="181">
        <f t="shared" si="19"/>
        <v>0</v>
      </c>
      <c r="N196" s="181">
        <f t="shared" si="19"/>
        <v>0</v>
      </c>
    </row>
    <row r="197" spans="2:14">
      <c r="B197" s="177" t="s">
        <v>640</v>
      </c>
      <c r="K197" s="181">
        <v>-110000</v>
      </c>
      <c r="L197" s="181">
        <v>-110000</v>
      </c>
      <c r="M197" s="181">
        <v>-110000</v>
      </c>
      <c r="N197" s="181">
        <v>-110000</v>
      </c>
    </row>
    <row r="198" spans="2:14">
      <c r="B198" s="177" t="s">
        <v>641</v>
      </c>
      <c r="K198" s="181">
        <v>40000</v>
      </c>
      <c r="L198" s="181">
        <v>40000</v>
      </c>
      <c r="M198" s="181">
        <v>40000</v>
      </c>
      <c r="N198" s="181">
        <v>40000</v>
      </c>
    </row>
    <row r="199" spans="2:14" ht="13.5" thickBot="1">
      <c r="B199" s="256" t="s">
        <v>642</v>
      </c>
      <c r="C199" s="256"/>
      <c r="D199" s="256"/>
      <c r="E199" s="256"/>
      <c r="F199" s="256"/>
      <c r="G199" s="256"/>
      <c r="H199" s="256"/>
      <c r="I199" s="256"/>
      <c r="J199" s="256"/>
      <c r="K199" s="257">
        <f>SUM(K186:K198)</f>
        <v>432116000</v>
      </c>
      <c r="L199" s="257">
        <f t="shared" ref="L199:N199" si="20">SUM(L186:L198)</f>
        <v>431916000</v>
      </c>
      <c r="M199" s="257">
        <f t="shared" si="20"/>
        <v>431916000</v>
      </c>
      <c r="N199" s="257">
        <f t="shared" si="20"/>
        <v>431316000</v>
      </c>
    </row>
    <row r="200" spans="2:14" ht="13.5" thickTop="1"/>
  </sheetData>
  <phoneticPr fontId="25" type="noConversion"/>
  <pageMargins left="0.25" right="0.25" top="0.75" bottom="0.75" header="0.3" footer="0.3"/>
  <pageSetup paperSize="9" scale="9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4d3598-6837-4b2f-a5b0-639cc095b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043D0477D9141B62D421E6621CA71" ma:contentTypeVersion="12" ma:contentTypeDescription="Create a new document." ma:contentTypeScope="" ma:versionID="09164554cb01dd5aed41eb68d6b337dd">
  <xsd:schema xmlns:xsd="http://www.w3.org/2001/XMLSchema" xmlns:xs="http://www.w3.org/2001/XMLSchema" xmlns:p="http://schemas.microsoft.com/office/2006/metadata/properties" xmlns:ns3="ca2af555-cd03-43c1-b870-a6c8aa2341d9" xmlns:ns4="ac4d3598-6837-4b2f-a5b0-639cc095b310" targetNamespace="http://schemas.microsoft.com/office/2006/metadata/properties" ma:root="true" ma:fieldsID="54fd4668970a36b5f44ed697ece3054a" ns3:_="" ns4:_="">
    <xsd:import namespace="ca2af555-cd03-43c1-b870-a6c8aa2341d9"/>
    <xsd:import namespace="ac4d3598-6837-4b2f-a5b0-639cc095b31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af555-cd03-43c1-b870-a6c8aa234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3598-6837-4b2f-a5b0-639cc095b3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1640E-AD50-4E4B-98BA-F4232F115A87}"/>
</file>

<file path=customXml/itemProps2.xml><?xml version="1.0" encoding="utf-8"?>
<ds:datastoreItem xmlns:ds="http://schemas.openxmlformats.org/officeDocument/2006/customXml" ds:itemID="{7F3A2C1F-2198-4F2B-91E6-A982E1261239}"/>
</file>

<file path=customXml/itemProps3.xml><?xml version="1.0" encoding="utf-8"?>
<ds:datastoreItem xmlns:ds="http://schemas.openxmlformats.org/officeDocument/2006/customXml" ds:itemID="{1EF3E1C4-1805-4A39-BBEF-3F9E86CAD0EA}"/>
</file>

<file path=docMetadata/LabelInfo.xml><?xml version="1.0" encoding="utf-8"?>
<clbl:labelList xmlns:clbl="http://schemas.microsoft.com/office/2020/mipLabelMetadata">
  <clbl:label id="{210edafd-6499-4c01-8a6b-e764102fb29c}" enabled="0" method="" siteId="{210edafd-6499-4c01-8a6b-e764102fb29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Inger Engelskjønn</dc:creator>
  <cp:keywords/>
  <dc:description/>
  <cp:lastModifiedBy/>
  <cp:revision/>
  <dcterms:created xsi:type="dcterms:W3CDTF">2011-01-05T12:12:46Z</dcterms:created>
  <dcterms:modified xsi:type="dcterms:W3CDTF">2025-10-24T11:16:12Z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0x01010066B043D0477D9141B62D421E6621CA71</vt:lpwstr>
  </property>
</Properties>
</file>